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codeName="ThisWorkbook" defaultThemeVersion="124226"/>
  <mc:AlternateContent xmlns:mc="http://schemas.openxmlformats.org/markup-compatibility/2006">
    <mc:Choice Requires="x15">
      <x15ac:absPath xmlns:x15ac="http://schemas.microsoft.com/office/spreadsheetml/2010/11/ac" url="https://icfonline-my.sharepoint.com/personal/50435_icf_com/Documents/Documents/Energy Star/PD/Pool Pumps/Pool Pumps Calculator/New folder/"/>
    </mc:Choice>
  </mc:AlternateContent>
  <xr:revisionPtr revIDLastSave="0" documentId="8_{2868C103-6E07-4679-BD43-4E1723A5D932}" xr6:coauthVersionLast="45" xr6:coauthVersionMax="45" xr10:uidLastSave="{00000000-0000-0000-0000-000000000000}"/>
  <bookViews>
    <workbookView xWindow="-98" yWindow="-98" windowWidth="19396" windowHeight="10395" tabRatio="818" xr2:uid="{00000000-000D-0000-FFFF-FFFF00000000}"/>
  </bookViews>
  <sheets>
    <sheet name="How to Use This Calculator" sheetId="7" r:id="rId1"/>
    <sheet name="INPUTS" sheetId="2" r:id="rId2"/>
    <sheet name="RESULTS" sheetId="3" r:id="rId3"/>
    <sheet name="Assumptions&amp;Calculations" sheetId="5" r:id="rId4"/>
    <sheet name="Pump Calcs (2)" sheetId="8" state="hidden" r:id="rId5"/>
  </sheets>
  <definedNames>
    <definedName name="cost" localSheetId="4">#REF!</definedName>
    <definedName name="cost">#REF!</definedName>
    <definedName name="hp" localSheetId="4">#REF!</definedName>
    <definedName name="hp">#REF!</definedName>
    <definedName name="Locator" localSheetId="4">'Pump Calcs (2)'!$LCB$524288</definedName>
    <definedName name="Locator">INPUTS!$LBZ$523688</definedName>
    <definedName name="powerC" localSheetId="4">#REF!</definedName>
    <definedName name="powerC">#REF!</definedName>
    <definedName name="_xlnm.Print_Area" localSheetId="1">INPUTS!$A$2:$I$28</definedName>
    <definedName name="_xlnm.Print_Area" localSheetId="2">RESULTS!$B$2:$N$10</definedName>
    <definedName name="Shape">INPUTS!#REF!</definedName>
    <definedName name="Type" localSheetId="4">#REF!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6" i="5" l="1"/>
  <c r="I21" i="2" l="1"/>
  <c r="I23" i="2" s="1"/>
  <c r="C20" i="2"/>
  <c r="C22" i="2" s="1"/>
  <c r="D7" i="2" s="1"/>
  <c r="F19" i="2"/>
  <c r="F21" i="2" s="1"/>
  <c r="D88" i="5"/>
  <c r="G118" i="5"/>
  <c r="G119" i="5"/>
  <c r="G120" i="5"/>
  <c r="G121" i="5"/>
  <c r="G122" i="5"/>
  <c r="F22" i="5"/>
  <c r="D13" i="5" s="1"/>
  <c r="A25" i="5"/>
  <c r="A26" i="5" l="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E22" i="5"/>
  <c r="D89" i="5"/>
  <c r="G5" i="2"/>
  <c r="D22" i="5" l="1"/>
  <c r="H5" i="2" s="1"/>
  <c r="G22" i="5"/>
  <c r="D17" i="5" s="1"/>
  <c r="D30" i="2" s="1"/>
  <c r="G67" i="8"/>
  <c r="G66" i="8"/>
  <c r="G65" i="8"/>
  <c r="G64" i="8"/>
  <c r="G63" i="8"/>
  <c r="G62" i="8"/>
  <c r="C61" i="8"/>
  <c r="D11" i="8"/>
  <c r="E29" i="8" s="1"/>
  <c r="E34" i="8" s="1"/>
  <c r="D8" i="8"/>
  <c r="E7" i="8"/>
  <c r="D27" i="8" s="1"/>
  <c r="D18" i="8" l="1"/>
  <c r="D20" i="8"/>
  <c r="D26" i="8"/>
  <c r="D29" i="8"/>
  <c r="D34" i="8" s="1"/>
  <c r="D28" i="8"/>
  <c r="D19" i="5" l="1"/>
  <c r="D19" i="8" l="1"/>
  <c r="D4" i="8"/>
  <c r="E5" i="8"/>
  <c r="M9" i="3"/>
  <c r="E14" i="5" l="1"/>
  <c r="E19" i="5"/>
  <c r="K9" i="3" s="1"/>
  <c r="E8" i="8"/>
  <c r="E24" i="8"/>
  <c r="E28" i="8" s="1"/>
  <c r="D24" i="8"/>
  <c r="D7" i="8" s="1"/>
  <c r="D30" i="8"/>
  <c r="D31" i="8" s="1"/>
  <c r="D33" i="8" s="1"/>
  <c r="D6" i="8"/>
  <c r="D6" i="2"/>
  <c r="B9" i="3" s="1"/>
  <c r="D93" i="5" l="1"/>
  <c r="D16" i="5" s="1"/>
  <c r="I27" i="2" s="1"/>
  <c r="E4" i="8"/>
  <c r="D14" i="8" s="1"/>
  <c r="D37" i="8" s="1"/>
  <c r="E30" i="8"/>
  <c r="E31" i="8" s="1"/>
  <c r="E33" i="8" s="1"/>
  <c r="E13" i="5"/>
  <c r="D84" i="5" s="1"/>
  <c r="E16" i="5" l="1"/>
  <c r="D94" i="5" s="1"/>
  <c r="E17" i="5" l="1"/>
  <c r="D15" i="5" s="1"/>
  <c r="D28" i="2" s="1"/>
  <c r="E6" i="8" l="1"/>
  <c r="D21" i="8" s="1"/>
  <c r="C37" i="8" s="1"/>
  <c r="E37" i="8" s="1"/>
  <c r="E15" i="5"/>
  <c r="D18" i="5" l="1"/>
  <c r="H30" i="2" s="1"/>
  <c r="E18" i="5" s="1"/>
  <c r="D95" i="5" s="1"/>
  <c r="D98" i="5" s="1"/>
  <c r="F9" i="3" s="1"/>
  <c r="D90" i="5"/>
  <c r="C98" i="5" s="1"/>
  <c r="E98" i="5" l="1"/>
  <c r="C9" i="3" l="1"/>
  <c r="J9" i="3"/>
  <c r="E9" i="3"/>
  <c r="D9" i="3" l="1"/>
  <c r="B5" i="3" s="1"/>
  <c r="G9" i="3"/>
  <c r="H9" i="3" l="1"/>
  <c r="I9" i="3" s="1"/>
  <c r="L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Baldewicz, Dan</author>
  </authors>
  <commentList>
    <comment ref="D8" authorId="0" shapeId="0" xr:uid="{00000000-0006-0000-0400-000001000000}">
      <text>
        <r>
          <rPr>
            <b/>
            <sz val="9"/>
            <color indexed="81"/>
            <rFont val="Tahoma"/>
            <family val="2"/>
          </rPr>
          <t>Baldewicz, Dan:</t>
        </r>
        <r>
          <rPr>
            <sz val="9"/>
            <color indexed="81"/>
            <rFont val="Tahoma"/>
            <family val="2"/>
          </rPr>
          <t xml:space="preserve">
Only 1 incremental cost</t>
        </r>
      </text>
    </comment>
    <comment ref="D23" authorId="0" shapeId="0" xr:uid="{00000000-0006-0000-0400-000002000000}">
      <text>
        <r>
          <rPr>
            <b/>
            <sz val="9"/>
            <color indexed="81"/>
            <rFont val="Tahoma"/>
            <family val="2"/>
          </rPr>
          <t>Baldewicz, Dan:</t>
        </r>
        <r>
          <rPr>
            <sz val="9"/>
            <color indexed="81"/>
            <rFont val="Tahoma"/>
            <family val="2"/>
          </rPr>
          <t xml:space="preserve">
This is actually VS right now</t>
        </r>
      </text>
    </comment>
    <comment ref="C55" authorId="0" shapeId="0" xr:uid="{00000000-0006-0000-0400-000003000000}">
      <text>
        <r>
          <rPr>
            <b/>
            <sz val="9"/>
            <color indexed="81"/>
            <rFont val="Tahoma"/>
            <family val="2"/>
          </rPr>
          <t>Baldewicz, Dan:</t>
        </r>
        <r>
          <rPr>
            <sz val="9"/>
            <color indexed="81"/>
            <rFont val="Tahoma"/>
            <family val="2"/>
          </rPr>
          <t xml:space="preserve">
This will become WEF on Curve C for products</t>
        </r>
      </text>
    </comment>
  </commentList>
</comments>
</file>

<file path=xl/sharedStrings.xml><?xml version="1.0" encoding="utf-8"?>
<sst xmlns="http://schemas.openxmlformats.org/spreadsheetml/2006/main" count="410" uniqueCount="254">
  <si>
    <t>See www.energystar.gov for information on other ENERGY STAR products.</t>
  </si>
  <si>
    <t>Location</t>
  </si>
  <si>
    <t>Pool Volume (gallons)</t>
  </si>
  <si>
    <t>Results Overview</t>
  </si>
  <si>
    <t>Results Detail</t>
  </si>
  <si>
    <t>Total additional purchase price</t>
  </si>
  <si>
    <t>Simple payback period for additional initial cost (years)</t>
  </si>
  <si>
    <t>Assumed equipment lifetime (years)</t>
  </si>
  <si>
    <t>Electricity cost savings</t>
  </si>
  <si>
    <t>Electricity savings (kWh)</t>
  </si>
  <si>
    <t>Emissions reduction (pounds of CO2)</t>
  </si>
  <si>
    <t>Net cost savings</t>
  </si>
  <si>
    <t>Width (feet), A</t>
  </si>
  <si>
    <t>Length (feet), L</t>
  </si>
  <si>
    <t>Width (feet), B</t>
  </si>
  <si>
    <t>Width (feet), W</t>
  </si>
  <si>
    <t>Radius (feet), R</t>
  </si>
  <si>
    <t>Surface Area (square feet)</t>
  </si>
  <si>
    <t>Average depth (feet)</t>
  </si>
  <si>
    <t>Operating days per year</t>
  </si>
  <si>
    <t xml:space="preserve"> </t>
  </si>
  <si>
    <t>Conventional (single speed) pump</t>
  </si>
  <si>
    <t>Daily operation (hours/day)</t>
  </si>
  <si>
    <t>low speed</t>
  </si>
  <si>
    <t>high speed - for cleaning</t>
  </si>
  <si>
    <t>high speed</t>
  </si>
  <si>
    <t>Conventional</t>
  </si>
  <si>
    <t>ENERGY STAR</t>
  </si>
  <si>
    <t>Nameplate Horsepower</t>
  </si>
  <si>
    <t>Lists for pull-down menus</t>
  </si>
  <si>
    <t>Multi-speed</t>
  </si>
  <si>
    <t>Rectangle</t>
  </si>
  <si>
    <t>Circle</t>
  </si>
  <si>
    <t>Kidney</t>
  </si>
  <si>
    <t>Climate</t>
  </si>
  <si>
    <t>Selected</t>
  </si>
  <si>
    <t>Electric rate ($/kWh)</t>
  </si>
  <si>
    <t>Commercial</t>
  </si>
  <si>
    <t>Residential</t>
  </si>
  <si>
    <t>U.S. average</t>
  </si>
  <si>
    <t>Warm</t>
  </si>
  <si>
    <t>Alabama</t>
  </si>
  <si>
    <t>Alaska</t>
  </si>
  <si>
    <t>Cool</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</si>
  <si>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</si>
  <si>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</si>
  <si>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</si>
  <si>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</si>
  <si>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</si>
  <si>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</si>
  <si>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</si>
  <si>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</si>
  <si>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</si>
  <si>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</si>
  <si>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</si>
  <si>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</si>
  <si>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</si>
  <si>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</si>
  <si>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</si>
  <si>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</si>
  <si>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</si>
  <si>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</si>
  <si>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</si>
  <si>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</si>
  <si>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</si>
  <si>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</si>
  <si>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</si>
  <si>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</si>
  <si>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</si>
  <si>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</si>
  <si>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</si>
  <si>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</si>
  <si>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</si>
  <si>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</si>
  <si>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</si>
  <si>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</si>
  <si>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</si>
  <si>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</si>
  <si>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</si>
  <si>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</si>
  <si>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</si>
  <si>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</si>
  <si>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</si>
  <si>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</si>
  <si>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</si>
  <si>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</si>
  <si>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</si>
  <si>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</si>
  <si>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</si>
  <si>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</si>
  <si>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</si>
  <si>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</si>
  <si>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</si>
  <si>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r>
      <t>lbs CO</t>
    </r>
    <r>
      <rPr>
        <vertAlign val="subscript"/>
        <sz val="9"/>
        <rFont val="Arial"/>
        <family val="2"/>
      </rPr>
      <t>2</t>
    </r>
    <r>
      <rPr>
        <sz val="9"/>
        <rFont val="Arial"/>
        <family val="2"/>
      </rPr>
      <t>/kWh</t>
    </r>
  </si>
  <si>
    <t>Electric rates:</t>
  </si>
  <si>
    <t>Discount rate:</t>
  </si>
  <si>
    <t>- Assumed real discount rate of 4%, which is roughly equivalent to the nominal discount rate of 7% (4% real discount rate + 3% inflation rate)</t>
  </si>
  <si>
    <t>ENERGY STAR product page</t>
  </si>
  <si>
    <t>Specification Effective Date</t>
  </si>
  <si>
    <t>Version of ENERGY STAR Specification</t>
  </si>
  <si>
    <t>Product Type</t>
  </si>
  <si>
    <t>ENERGY STAR pump type</t>
  </si>
  <si>
    <t>Pool volume (gallons)</t>
  </si>
  <si>
    <t>Variable speed</t>
  </si>
  <si>
    <t xml:space="preserve"> Annual</t>
  </si>
  <si>
    <t xml:space="preserve"> Life Cycle</t>
  </si>
  <si>
    <t>Electricity consumption by ENERGY STAR unit (kWh)</t>
  </si>
  <si>
    <t>Savings</t>
  </si>
  <si>
    <t>% electricity savings with ENERGY STAR</t>
  </si>
  <si>
    <t>Nameplate Horsepower at High Speed</t>
  </si>
  <si>
    <t>ENERGY STAR pump</t>
  </si>
  <si>
    <t>Average</t>
  </si>
  <si>
    <t>Electricity consumption (kWh)</t>
  </si>
  <si>
    <t>- EPA research on available models, 2013</t>
  </si>
  <si>
    <t>-</t>
  </si>
  <si>
    <t>- Consortium for Energy Efficiency, CEE(SM) High Efficiency Residential Swimming Pool Initiative, 2012</t>
  </si>
  <si>
    <t>- EPA research on pool use, 2013</t>
  </si>
  <si>
    <t xml:space="preserve">    References</t>
  </si>
  <si>
    <t>Months of operation, pool volume, turnovers per day, pump lifetime:</t>
  </si>
  <si>
    <t>Pump wattage, flow rates, incremental cost:</t>
  </si>
  <si>
    <t>Daily runtime &amp; high-speed flow rate:</t>
  </si>
  <si>
    <t>Desired turnover time:</t>
  </si>
  <si>
    <t>Pump lifetime</t>
  </si>
  <si>
    <t>Multi-speed pump</t>
  </si>
  <si>
    <t>- Work Paper PGECOPUM102 Variable Speed Pool Pump-Residential, Pacific Gas &amp; Electric Company, 2013</t>
  </si>
  <si>
    <t>Conventional pump</t>
  </si>
  <si>
    <t>Pool shape</t>
  </si>
  <si>
    <t>DEFAULT</t>
  </si>
  <si>
    <t>Pipe diameter (in)</t>
  </si>
  <si>
    <t>Pool curve</t>
  </si>
  <si>
    <t>Single speed 0.5 hp</t>
  </si>
  <si>
    <t>Single speed 0.75 hp</t>
  </si>
  <si>
    <t>Single speed 1 hp</t>
  </si>
  <si>
    <t>Single speed 1.5 hp</t>
  </si>
  <si>
    <t>Single speed 2 hp</t>
  </si>
  <si>
    <t>Single speed 2.5 hp</t>
  </si>
  <si>
    <t>Single speed 3 hp</t>
  </si>
  <si>
    <t>Daily electricity consumption (kWh/day)</t>
  </si>
  <si>
    <t>Time to complete 1 turnover (hours)</t>
  </si>
  <si>
    <t>USER INPUT</t>
  </si>
  <si>
    <t>Consult a pool professional to correctly size, install and set up the appropriate pump for your specific pool and use.</t>
  </si>
  <si>
    <r>
      <t xml:space="preserve">  Inputs</t>
    </r>
    <r>
      <rPr>
        <i/>
        <sz val="11"/>
        <rFont val="Arial"/>
        <family val="2"/>
      </rPr>
      <t xml:space="preserve"> - to edit these values go to the INPUTS tab</t>
    </r>
  </si>
  <si>
    <r>
      <t xml:space="preserve">  Assumptions &amp; Calculations </t>
    </r>
    <r>
      <rPr>
        <i/>
        <sz val="11"/>
        <rFont val="Arial"/>
        <family val="2"/>
      </rPr>
      <t>- users can edit the highlighted values to modify the assumptions</t>
    </r>
  </si>
  <si>
    <t xml:space="preserve">  Annual energy consumption per pump</t>
  </si>
  <si>
    <t xml:space="preserve">  Lookup Tables</t>
  </si>
  <si>
    <t>Some state laws restrict the installation and use of certain conventional pumps for residential swimming pool filtration.  Consult a pool professional to correctly size, install and set up the appropriate pump for your specific pool and use.</t>
  </si>
  <si>
    <r>
      <t xml:space="preserve"> </t>
    </r>
    <r>
      <rPr>
        <b/>
        <sz val="13.5"/>
        <rFont val="Arial"/>
        <family val="2"/>
      </rPr>
      <t>Pool Pump Calculations for the ENERGY STAR Pool Pump Calculator</t>
    </r>
  </si>
  <si>
    <t>Pool operation (months per year)</t>
  </si>
  <si>
    <t>- NSF/ANSI 50 Equipment for Swimming Pools, Spas, Hot Tubs and Other Recreational Water Facilities, NSF International, 2010</t>
  </si>
  <si>
    <t>- ANSI/APSP/ICC-5 Standard for Residential Inground Swimming Pools, Association of Pool &amp; Spa Professionals, 2011</t>
  </si>
  <si>
    <t>- ANSI/APSP/ICC-15 Standard for Residential Swimming Pool and Spa Energy Efficiency, Association of Pool &amp; Spa Professionals, 2011</t>
  </si>
  <si>
    <t>Curve A - Energy Factor (Gal/Wh)</t>
  </si>
  <si>
    <t>Curve A - Flow (GPM)</t>
  </si>
  <si>
    <t>Curve C - Flow (GPM)</t>
  </si>
  <si>
    <t>Curve C - Energy Factor (Gal/Wh)</t>
  </si>
  <si>
    <t>Curve A - High Energy Factor (Gal/Wh)</t>
  </si>
  <si>
    <t>Curve A - Low Energy Factor (Gal/Wh)</t>
  </si>
  <si>
    <t>Curve C - High Energy Factor (Gal/Wh)</t>
  </si>
  <si>
    <t>Curve C - Low Energy Factor (Gal/Wh)</t>
  </si>
  <si>
    <t>Curve A - High Flow (GPM)</t>
  </si>
  <si>
    <t>Curve A - Low Flow (GPM)</t>
  </si>
  <si>
    <t>Curve C - High Flow (GPM)</t>
  </si>
  <si>
    <t>Curve C - Low Flow (GPM)</t>
  </si>
  <si>
    <t xml:space="preserve">High-speed flow </t>
  </si>
  <si>
    <t>Low-speed flow (GPM)</t>
  </si>
  <si>
    <t>Pool turnovers per day</t>
  </si>
  <si>
    <t>Energy Factor (gallon/Wh)</t>
  </si>
  <si>
    <t>Pump flow rate (gallon/minute)</t>
  </si>
  <si>
    <t>Type</t>
  </si>
  <si>
    <t>For maximum energy efficiency, pool filtration should be operated at the lowest possible flow rate for a time period that provides sufficient water turnover for clarity and sanitation (APSP 15).  For public pools, 6 hour turnover time is recommended (NSF 50). ANSI/NSPI-5 2003 design pool system for minimim of 1 turnover in 12 hours.</t>
  </si>
  <si>
    <t>Default</t>
  </si>
  <si>
    <t>Run time (hours per day)</t>
  </si>
  <si>
    <t>Size (nameplate horsepower)</t>
  </si>
  <si>
    <t>Desired high-speed flow rate and minimum run time:</t>
  </si>
  <si>
    <t>Desired turnovers per day in multi-speed and variable speed pumps</t>
  </si>
  <si>
    <t>Desired time (hours) to complete 1 turnover</t>
  </si>
  <si>
    <t>Desired low-speed flow (gallons/minute)</t>
  </si>
  <si>
    <t>Desired high-speed flow for cleaning (gallons/minute)</t>
  </si>
  <si>
    <t>Low-speed Energy Factor (gallons/Wh)</t>
  </si>
  <si>
    <t>Pool operation (months/year)</t>
  </si>
  <si>
    <t>Conventional pump run time (hours /day)</t>
  </si>
  <si>
    <t>Multi-speed pump high speed nameplate horsepower</t>
  </si>
  <si>
    <t>Minimum flow rate for variable speed pumps:</t>
  </si>
  <si>
    <t>Pool size (gallons)</t>
  </si>
  <si>
    <t>- Certified Aquatic Energy Auditor (page 11), National Swimming Pool Foundation, 2011</t>
  </si>
  <si>
    <t>Climate Months of Use (DOE TSD)</t>
  </si>
  <si>
    <t>Incremental installed cost</t>
  </si>
  <si>
    <t>Rename these</t>
  </si>
  <si>
    <t>0.95 hhp (1.65 HP)</t>
  </si>
  <si>
    <t>1.18 hhp (2 HP)</t>
  </si>
  <si>
    <t>1.25 hhp (2.5 HP)</t>
  </si>
  <si>
    <t>1.65 hhp (3 HP)</t>
  </si>
  <si>
    <t>0.72 hhp (1-1.4 HP)</t>
  </si>
  <si>
    <t>WEF ON CURVE C</t>
  </si>
  <si>
    <t>WEF</t>
  </si>
  <si>
    <t>High-speed Energy Factor (gallons/Wh) WEF</t>
  </si>
  <si>
    <t>Variable Speed Pump Hydraulic Horsepower</t>
  </si>
  <si>
    <t>2.0</t>
  </si>
  <si>
    <t>Variable-speed</t>
  </si>
  <si>
    <t>Weighted Energy Factor (gallons/Wh)</t>
  </si>
  <si>
    <t>Curve C - Weighted Energy Factor (Gal/Wh)</t>
  </si>
  <si>
    <t>Total additional cost</t>
  </si>
  <si>
    <t>Pump lifetime (years)</t>
  </si>
  <si>
    <t>Variable-speed pump</t>
  </si>
  <si>
    <t>If all pool pumps sold in the United States were ENERGY STAR certified, the energy cost savings would grow to about $770 million each year, and 11 billion pounds of greenhouse gas emissions would be prevented annually, equivalent to the emissions from over 1 million vehicles!</t>
  </si>
  <si>
    <t>Variable Speed</t>
  </si>
  <si>
    <t>https://www.energystar.gov/products/other/pool_pumps</t>
  </si>
  <si>
    <t>CALCULATE SAVINGS</t>
  </si>
  <si>
    <t>Average Depth (feet)</t>
  </si>
  <si>
    <t xml:space="preserve">  Step 1: Where is your inground pool located?</t>
  </si>
  <si>
    <t>Based on the state selected. If you prefer a different value, enter it here.</t>
  </si>
  <si>
    <r>
      <t xml:space="preserve"> Discount Rate </t>
    </r>
    <r>
      <rPr>
        <i/>
        <sz val="11"/>
        <rFont val="Arial"/>
        <family val="2"/>
      </rPr>
      <t>- user may edit this value to modify the assumption</t>
    </r>
  </si>
  <si>
    <r>
      <t xml:space="preserve"> Carbon Dioxide Emissions </t>
    </r>
    <r>
      <rPr>
        <i/>
        <sz val="11"/>
        <rFont val="Arial"/>
        <family val="2"/>
      </rPr>
      <t>- user may edit this value to modify the assumption</t>
    </r>
  </si>
  <si>
    <r>
      <t xml:space="preserve">  Electricity CO</t>
    </r>
    <r>
      <rPr>
        <vertAlign val="subscript"/>
        <sz val="9"/>
        <rFont val="Arial"/>
        <family val="2"/>
      </rPr>
      <t>2</t>
    </r>
    <r>
      <rPr>
        <sz val="9"/>
        <rFont val="Arial"/>
        <family val="2"/>
      </rPr>
      <t xml:space="preserve"> emissions factor</t>
    </r>
  </si>
  <si>
    <t xml:space="preserve">  Step 3: What pumps would you like to compare?</t>
  </si>
  <si>
    <t>Conventional (single speed) option:</t>
  </si>
  <si>
    <t>See https://www.energystar.gov/productfinder/ to find utility incentives for pool pumps by entering your zip code.  Enter these incentives in the "utility incentive" field above.</t>
  </si>
  <si>
    <r>
      <rPr>
        <b/>
        <i/>
        <sz val="10"/>
        <rFont val="Arial"/>
        <family val="2"/>
      </rPr>
      <t>Optional</t>
    </r>
    <r>
      <rPr>
        <b/>
        <sz val="10"/>
        <rFont val="Arial"/>
        <family val="2"/>
      </rPr>
      <t>: Utility Incentive</t>
    </r>
  </si>
  <si>
    <r>
      <rPr>
        <b/>
        <sz val="11"/>
        <rFont val="Arial"/>
        <family val="2"/>
      </rPr>
      <t>Step 3:</t>
    </r>
    <r>
      <rPr>
        <sz val="11"/>
        <rFont val="Arial"/>
        <family val="2"/>
      </rPr>
      <t xml:space="preserve"> Select the conventional pump horsepower you would like to compare, then select an ENERGY STAR Variable Speed Pump. </t>
    </r>
  </si>
  <si>
    <t>Curve C: H = 0.0082 * Q2, where H = Head (ft) and Q = rate of flow (gallons per min)</t>
  </si>
  <si>
    <t>Assumptions</t>
  </si>
  <si>
    <t>To edit these values, go to the INPUTS tab.</t>
  </si>
  <si>
    <t xml:space="preserve">Curve C is assumed for ENERGY STAR pool pumps, while conventional pool pump performance may be described by either Curve C or Curve A. For the purposes of this calculator, we are comparing ENERGY STAR pool pumps only to conventional pool pumps described by Curve C. </t>
  </si>
  <si>
    <t>Calculations</t>
  </si>
  <si>
    <t>For more information about system curves, please refer to the ENERGY STAR Version 2 Final Pool Pumps Specification</t>
  </si>
  <si>
    <t>If you need help estimating your pool size, go to Step 2.</t>
  </si>
  <si>
    <t xml:space="preserve">  Step 2 (optional): What is your pool volume?</t>
  </si>
  <si>
    <t>To see detail on the formulas and values used in this calculator or to modify assumptions, click on the Assumptions&amp;Calculations tab.</t>
  </si>
  <si>
    <t>About this Calculator:</t>
  </si>
  <si>
    <t>Pool Pumps</t>
  </si>
  <si>
    <t>Assumptions and Calculations</t>
  </si>
  <si>
    <t>Calculator Instructions: Follow these steps on the INPUTS tab:</t>
  </si>
  <si>
    <t>- Consortium for Energy Efficiency, CEE(SM) High Efficiency Residential Swimming Pool Initiative, 2013</t>
  </si>
  <si>
    <t>Desired variable speed pump turnovers per day</t>
  </si>
  <si>
    <t>Conventional pump turnovers per day</t>
  </si>
  <si>
    <t>Desired pool turnovers per day</t>
  </si>
  <si>
    <t>If you do not know your pool volume in gallons, select the shape most like your pool and fill in the highlighted cells below to estimate the volume.</t>
  </si>
  <si>
    <t>Based on WEF, Pool Size (Gal), and turnovers per day</t>
  </si>
  <si>
    <r>
      <rPr>
        <b/>
        <sz val="11"/>
        <rFont val="Arial"/>
        <family val="2"/>
      </rPr>
      <t>Step 2 (optional):</t>
    </r>
    <r>
      <rPr>
        <sz val="11"/>
        <rFont val="Arial"/>
        <family val="2"/>
      </rPr>
      <t xml:space="preserve"> A default pool size is loaded automatically. If you know your pool's volume or dimensions, select the pool shape that most accurately reflects your pool and enter the dimensions and/or capacity in gallons.</t>
    </r>
  </si>
  <si>
    <r>
      <rPr>
        <b/>
        <sz val="11"/>
        <rFont val="Arial"/>
        <family val="2"/>
      </rPr>
      <t>Step 1:</t>
    </r>
    <r>
      <rPr>
        <sz val="11"/>
        <rFont val="Arial"/>
        <family val="2"/>
      </rPr>
      <t xml:space="preserve"> Select your state to load months of pool use per year and the average electric rate for your location. For results tailored to your home, enter your electric rate (if known).</t>
    </r>
  </si>
  <si>
    <t>Note: ENERGY STAR and DOE requirements are in hydraulic horsepower (hhp). If you do not know the hydraulic horsepower of your intended ENERGY STAR replacement, select the pump based on the HP value shown in ().</t>
  </si>
  <si>
    <t>- Energy Information Administration, Annual Energy Outlook 2019 edition (2018 dollars).</t>
  </si>
  <si>
    <t>- State Electricity Rate: Energy Information Administration's December 2018 Electric Power Monthly Report (Data through September 2019). Table 5.6.B</t>
  </si>
  <si>
    <t>Emissions Factor:</t>
  </si>
  <si>
    <t>- 2018 CPPD Portfolio EE emissions Factor, “AVERT Emission Factor Summary Percent diff_8.28.19”</t>
  </si>
  <si>
    <t>Minimum run time:</t>
  </si>
  <si>
    <t>Savings Calculator for an ENERGY STAR Certified Inground Pool Pump</t>
  </si>
  <si>
    <t>This calculator was developed by the U.S. EPA to estimate how much you save by choosing an inground pool pump that has earned the ENERGY STAR label instead of a standard pool pump. A certified in-ground pool pump uses up to 65% less energy than a standard pool pump and can save up to $450 a year in energy bill costs. To calculate your savings, follow the steps below. Actual savings may vary based on use and pool system specifications.</t>
  </si>
  <si>
    <t xml:space="preserve">New ENERGY STAR certified inground pool pumps are compared to the average available standard pump. </t>
  </si>
  <si>
    <t>ENERGY STAR certified option:</t>
  </si>
  <si>
    <t>Note: A default additional cost is loaded. If you wish to use a different value or account for a local utility incentive, enter those values here.</t>
  </si>
  <si>
    <t>Note: Default pool turnover per day is based on the climate of the state selected and is used to calculate the default run time. If you know your conventional pump operates to achieve a different number of turnovers per day, please enter it above.</t>
  </si>
  <si>
    <r>
      <t xml:space="preserve">  Utility Rates </t>
    </r>
    <r>
      <rPr>
        <i/>
        <sz val="11"/>
        <rFont val="Arial"/>
        <family val="2"/>
      </rPr>
      <t>- to edit these values, go to the INPUTS tab</t>
    </r>
  </si>
  <si>
    <t>Calculator last updated April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</si>
</sst>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44" formatCode="_(&quot;$&quot;* #,##0.00_);_(&quot;$&quot;* \(#,##0.00\);_(&quot;$&quot;* &quot;-&quot;??_);_(@_)"/>
    <numFmt numFmtId="43" formatCode="_(* #,##0.00_);_(* \(#,##0.00\);_(* &quot;-&quot;??_);_(@_)"/>
    <numFmt numFmtId="164" formatCode="#,##0.0_);\(#,##0.0\)"/>
    <numFmt numFmtId="165" formatCode="0.0"/>
    <numFmt numFmtId="166" formatCode="&quot;$&quot;#,##0.0000"/>
    <numFmt numFmtId="167" formatCode="&quot;$&quot;#,##0.00"/>
    <numFmt numFmtId="168" formatCode="0.0%"/>
    <numFmt numFmtId="169" formatCode="[$-409]mmmm\ d\,\ yyyy;@"/>
    <numFmt numFmtId="170" formatCode="#,##0.0"/>
  </numFmts>
  <fonts count="61" x14ac:knownFonts="1">
    <font>
      <sz val="11"/>
      <color theme="1"/>
      <name val="Calibri"/>
      <family val="2"/>
      <scheme val="minor"/>
    </font>
    <font>
      <sz val="11"/>
      <color theme="1"/>
      <name val="Calibri"/>
      <family val="2"/>
      <scheme val="minor"/>
    </font>
    <font>
      <sz val="11"/>
      <color rgb="FF9C6500"/>
      <name val="Calibri"/>
      <family val="2"/>
      <scheme val="minor"/>
    </font>
    <font>
      <sz val="10"/>
      <name val="Arial"/>
      <family val="2"/>
    </font>
    <font>
      <i/>
      <sz val="10"/>
      <name val="Arial"/>
      <family val="2"/>
    </font>
    <font>
      <sz val="9.5"/>
      <name val="Arial"/>
      <family val="2"/>
    </font>
    <font>
      <u/>
      <sz val="10"/>
      <color indexed="12"/>
      <name val="Arial"/>
      <family val="2"/>
    </font>
    <font>
      <b/>
      <i/>
      <sz val="12.5"/>
      <name val="Arial"/>
      <family val="2"/>
    </font>
    <font>
      <b/>
      <sz val="10"/>
      <name val="Arial"/>
      <family val="2"/>
    </font>
    <font>
      <sz val="10"/>
      <name val="Arial"/>
      <family val="2"/>
    </font>
    <font>
      <u/>
      <sz val="10"/>
      <color theme="10"/>
      <name val="Arial"/>
      <family val="2"/>
    </font>
    <font>
      <vertAlign val="superscript"/>
      <sz val="10"/>
      <name val="Arial"/>
      <family val="2"/>
    </font>
    <font>
      <sz val="12"/>
      <name val="Arial"/>
      <family val="2"/>
    </font>
    <font>
      <sz val="10"/>
      <color indexed="47"/>
      <name val="Arial"/>
      <family val="2"/>
    </font>
    <font>
      <sz val="10"/>
      <color indexed="45"/>
      <name val="Arial"/>
      <family val="2"/>
    </font>
    <font>
      <sz val="10"/>
      <name val="Univers"/>
      <family val="2"/>
    </font>
    <font>
      <b/>
      <sz val="14"/>
      <name val="Arial"/>
      <family val="2"/>
    </font>
    <font>
      <sz val="9"/>
      <name val="Arial"/>
      <family val="2"/>
    </font>
    <font>
      <i/>
      <sz val="10"/>
      <name val="Univers"/>
      <family val="2"/>
    </font>
    <font>
      <sz val="11"/>
      <name val="Arial"/>
      <family val="2"/>
    </font>
    <font>
      <b/>
      <sz val="9"/>
      <name val="Arial"/>
      <family val="2"/>
    </font>
    <font>
      <b/>
      <sz val="11"/>
      <name val="Arial"/>
      <family val="2"/>
    </font>
    <font>
      <sz val="9"/>
      <color theme="0"/>
      <name val="Arial"/>
      <family val="2"/>
    </font>
    <font>
      <sz val="8"/>
      <name val="Arial"/>
      <family val="2"/>
    </font>
    <font>
      <b/>
      <sz val="12"/>
      <name val="Arial"/>
      <family val="2"/>
    </font>
    <font>
      <sz val="8"/>
      <color indexed="22"/>
      <name val="Arial"/>
      <family val="2"/>
    </font>
    <font>
      <b/>
      <sz val="8"/>
      <name val="Arial"/>
      <family val="2"/>
    </font>
    <font>
      <i/>
      <sz val="9"/>
      <name val="Arial"/>
      <family val="2"/>
    </font>
    <font>
      <sz val="7"/>
      <color indexed="22"/>
      <name val="Arial"/>
      <family val="2"/>
    </font>
    <font>
      <i/>
      <sz val="11"/>
      <name val="Arial"/>
      <family val="2"/>
    </font>
    <font>
      <vertAlign val="subscript"/>
      <sz val="9"/>
      <name val="Arial"/>
      <family val="2"/>
    </font>
    <font>
      <sz val="8"/>
      <color indexed="18"/>
      <name val="Arial"/>
      <family val="2"/>
    </font>
    <font>
      <b/>
      <sz val="8"/>
      <color rgb="FFFF0000"/>
      <name val="Arial"/>
      <family val="2"/>
    </font>
    <font>
      <b/>
      <sz val="13.5"/>
      <name val="Arial"/>
      <family val="2"/>
    </font>
    <font>
      <sz val="12"/>
      <color indexed="45"/>
      <name val="Arial"/>
      <family val="2"/>
    </font>
    <font>
      <b/>
      <i/>
      <u/>
      <sz val="13"/>
      <color theme="10"/>
      <name val="Arial"/>
      <family val="2"/>
    </font>
    <font>
      <sz val="8.5"/>
      <name val="Arial"/>
      <family val="2"/>
    </font>
    <font>
      <i/>
      <sz val="12"/>
      <color rgb="FF00B0F0"/>
      <name val="Arial"/>
      <family val="2"/>
    </font>
    <font>
      <i/>
      <sz val="12"/>
      <color indexed="33"/>
      <name val="Arial"/>
      <family val="2"/>
    </font>
    <font>
      <u/>
      <sz val="8.5"/>
      <color theme="10"/>
      <name val="Arial"/>
      <family val="2"/>
    </font>
    <font>
      <sz val="10"/>
      <color theme="5" tint="0.39997558519241921"/>
      <name val="Arial"/>
      <family val="2"/>
    </font>
    <font>
      <u/>
      <sz val="9"/>
      <color theme="10"/>
      <name val="Arial"/>
      <family val="2"/>
    </font>
    <font>
      <sz val="9"/>
      <color theme="1"/>
      <name val="Calibri"/>
      <family val="2"/>
      <scheme val="minor"/>
    </font>
    <font>
      <i/>
      <sz val="8"/>
      <name val="Arial"/>
      <family val="2"/>
    </font>
    <font>
      <i/>
      <sz val="8.5"/>
      <name val="Arial"/>
      <family val="2"/>
    </font>
    <font>
      <b/>
      <sz val="10"/>
      <color rgb="FFFF3399"/>
      <name val="Arial"/>
      <family val="2"/>
    </font>
    <font>
      <u/>
      <sz val="11"/>
      <color theme="1"/>
      <name val="Calibri"/>
      <family val="2"/>
      <scheme val="minor"/>
    </font>
    <font>
      <sz val="9"/>
      <color rgb="FFFF0000"/>
      <name val="Arial"/>
      <family val="2"/>
    </font>
    <font>
      <sz val="9"/>
      <color indexed="81"/>
      <name val="Tahoma"/>
      <family val="2"/>
    </font>
    <font>
      <b/>
      <sz val="9"/>
      <color indexed="81"/>
      <name val="Tahoma"/>
      <family val="2"/>
    </font>
    <font>
      <b/>
      <i/>
      <sz val="10"/>
      <name val="Arial"/>
      <family val="2"/>
    </font>
    <font>
      <b/>
      <i/>
      <sz val="11"/>
      <color rgb="FF00B0F0"/>
      <name val="Arial"/>
      <family val="2"/>
    </font>
    <font>
      <b/>
      <sz val="11"/>
      <color rgb="FF00B0F0"/>
      <name val="Calibri"/>
      <family val="2"/>
      <scheme val="minor"/>
    </font>
    <font>
      <u/>
      <sz val="10"/>
      <name val="Arial"/>
      <family val="2"/>
    </font>
    <font>
      <b/>
      <sz val="11"/>
      <name val="Calibri"/>
      <family val="2"/>
      <scheme val="minor"/>
    </font>
    <font>
      <i/>
      <sz val="10"/>
      <color theme="1"/>
      <name val="Arial"/>
      <family val="2"/>
    </font>
    <font>
      <i/>
      <sz val="10"/>
      <color theme="0" tint="-0.499984740745262"/>
      <name val="Arial"/>
      <family val="2"/>
    </font>
    <font>
      <b/>
      <sz val="10"/>
      <color indexed="8"/>
      <name val="Arial"/>
      <family val="2"/>
    </font>
    <font>
      <b/>
      <u/>
      <sz val="12"/>
      <color theme="10"/>
      <name val="Arial"/>
      <family val="2"/>
    </font>
    <font>
      <sz val="10"/>
      <color indexed="63"/>
      <name val="Arial"/>
      <family val="2"/>
    </font>
    <font>
      <b/>
      <sz val="18"/>
      <name val="Arial"/>
      <family val="2"/>
    </font>
  </fonts>
  <fills count="13">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indexed="43"/>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00B05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style="thin">
        <color indexed="64"/>
      </right>
      <top/>
      <bottom/>
      <diagonal/>
    </border>
    <border>
      <left/>
      <right style="thin">
        <color indexed="64"/>
      </right>
      <top/>
      <bottom style="thin">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auto="1"/>
      </top>
      <bottom/>
      <diagonal/>
    </border>
    <border>
      <left/>
      <right/>
      <top style="medium">
        <color indexed="64"/>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7">
    <xf numFmtId="0" fontId="0" fillId="0" borderId="0"/>
    <xf numFmtId="0" fontId="3" fillId="0" borderId="0"/>
    <xf numFmtId="0" fontId="3" fillId="0" borderId="0"/>
    <xf numFmtId="0" fontId="6" fillId="0" borderId="0" applyNumberFormat="0" applyFill="0" applyBorder="0" applyAlignment="0" applyProtection="0">
      <alignment vertical="top"/>
      <protection locked="0"/>
    </xf>
    <xf numFmtId="0" fontId="9" fillId="0" borderId="0"/>
    <xf numFmtId="43" fontId="3" fillId="0" borderId="0" applyFont="0" applyFill="0" applyBorder="0" applyAlignment="0" applyProtection="0"/>
    <xf numFmtId="0" fontId="10" fillId="0" borderId="0" applyNumberFormat="0" applyFill="0" applyBorder="0" applyAlignment="0" applyProtection="0"/>
    <xf numFmtId="9" fontId="3" fillId="0" borderId="0" applyFont="0" applyFill="0" applyBorder="0" applyAlignment="0" applyProtection="0"/>
    <xf numFmtId="0" fontId="3" fillId="0" borderId="0"/>
    <xf numFmtId="44" fontId="9" fillId="0" borderId="0" applyFont="0" applyFill="0" applyBorder="0" applyAlignment="0" applyProtection="0"/>
    <xf numFmtId="0" fontId="2" fillId="4" borderId="0" applyNumberFormat="0" applyBorder="0" applyAlignment="0" applyProtection="0"/>
    <xf numFmtId="0" fontId="1" fillId="0" borderId="0"/>
    <xf numFmtId="0" fontId="1" fillId="0" borderId="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cellStyleXfs>
  <cellXfs count="408">
    <xf numFmtId="0" fontId="0" fillId="0" borderId="0" xfId="0"/>
    <xf numFmtId="0" fontId="3" fillId="0" borderId="0" xfId="1" applyFont="1" applyProtection="1"/>
    <xf numFmtId="0" fontId="4" fillId="0" borderId="0" xfId="1" applyFont="1" applyAlignment="1" applyProtection="1">
      <alignment horizontal="left" vertical="center"/>
    </xf>
    <xf numFmtId="0" fontId="8" fillId="0" borderId="0" xfId="1" applyFont="1" applyFill="1" applyBorder="1" applyAlignment="1" applyProtection="1">
      <alignment horizontal="left" indent="2"/>
    </xf>
    <xf numFmtId="0" fontId="3" fillId="0" borderId="0" xfId="1" applyFont="1" applyBorder="1" applyProtection="1"/>
    <xf numFmtId="0" fontId="4" fillId="0" borderId="0" xfId="1" applyFont="1" applyFill="1" applyBorder="1" applyAlignment="1" applyProtection="1">
      <alignment horizontal="left" vertical="top" wrapText="1"/>
    </xf>
    <xf numFmtId="0" fontId="11" fillId="0" borderId="0" xfId="1" applyFont="1" applyBorder="1" applyAlignment="1" applyProtection="1">
      <alignment horizontal="left"/>
    </xf>
    <xf numFmtId="0" fontId="11" fillId="0" borderId="0" xfId="1" applyFont="1" applyAlignment="1" applyProtection="1">
      <alignment horizontal="left"/>
    </xf>
    <xf numFmtId="0" fontId="3" fillId="0" borderId="0" xfId="1" applyFont="1" applyAlignment="1" applyProtection="1">
      <alignment horizontal="left" vertical="center"/>
    </xf>
    <xf numFmtId="0" fontId="13" fillId="0" borderId="0" xfId="1" applyFont="1" applyFill="1" applyBorder="1" applyProtection="1"/>
    <xf numFmtId="0" fontId="13" fillId="0" borderId="0" xfId="1" applyFont="1" applyProtection="1"/>
    <xf numFmtId="0" fontId="3" fillId="0" borderId="0" xfId="2" applyFont="1" applyProtection="1"/>
    <xf numFmtId="0" fontId="15" fillId="0" borderId="0" xfId="2" applyFont="1" applyProtection="1"/>
    <xf numFmtId="0" fontId="4" fillId="0" borderId="0" xfId="2" applyFont="1" applyProtection="1"/>
    <xf numFmtId="0" fontId="16" fillId="0" borderId="0" xfId="2" applyFont="1" applyBorder="1" applyAlignment="1" applyProtection="1">
      <alignment horizontal="left" vertical="center"/>
    </xf>
    <xf numFmtId="0" fontId="17" fillId="0" borderId="0" xfId="2" applyFont="1" applyBorder="1" applyAlignment="1" applyProtection="1">
      <alignment horizontal="left" vertical="top"/>
    </xf>
    <xf numFmtId="0" fontId="3" fillId="0" borderId="0" xfId="2" applyFont="1" applyBorder="1" applyAlignment="1" applyProtection="1">
      <alignment horizontal="left" vertical="top"/>
    </xf>
    <xf numFmtId="0" fontId="18" fillId="0" borderId="0" xfId="2" applyFont="1" applyProtection="1"/>
    <xf numFmtId="0" fontId="16" fillId="0" borderId="0" xfId="2" applyFont="1" applyBorder="1" applyAlignment="1" applyProtection="1">
      <alignment horizontal="left"/>
    </xf>
    <xf numFmtId="2" fontId="22" fillId="0" borderId="0" xfId="2" applyNumberFormat="1" applyFont="1" applyAlignment="1" applyProtection="1">
      <alignment horizontal="center"/>
    </xf>
    <xf numFmtId="0" fontId="25" fillId="0" borderId="0" xfId="4" applyFont="1" applyProtection="1"/>
    <xf numFmtId="0" fontId="23" fillId="0" borderId="0" xfId="4" applyFont="1" applyAlignment="1" applyProtection="1">
      <alignment horizontal="left"/>
    </xf>
    <xf numFmtId="0" fontId="23" fillId="0" borderId="0" xfId="4" applyFont="1" applyAlignment="1" applyProtection="1">
      <alignment horizontal="center"/>
    </xf>
    <xf numFmtId="0" fontId="26" fillId="0" borderId="0" xfId="4" applyFont="1" applyProtection="1"/>
    <xf numFmtId="0" fontId="23" fillId="0" borderId="0" xfId="4" applyFont="1" applyProtection="1"/>
    <xf numFmtId="0" fontId="24" fillId="0" borderId="0" xfId="4" applyFont="1" applyBorder="1" applyAlignment="1" applyProtection="1">
      <alignment horizontal="left" vertical="center"/>
    </xf>
    <xf numFmtId="0" fontId="23" fillId="0" borderId="0" xfId="4" applyFont="1" applyBorder="1" applyProtection="1"/>
    <xf numFmtId="0" fontId="28" fillId="0" borderId="0" xfId="4" applyFont="1" applyAlignment="1" applyProtection="1">
      <alignment horizontal="left"/>
      <protection locked="0"/>
    </xf>
    <xf numFmtId="0" fontId="21" fillId="0" borderId="0" xfId="4" applyFont="1" applyBorder="1" applyAlignment="1" applyProtection="1">
      <alignment horizontal="left"/>
    </xf>
    <xf numFmtId="167" fontId="23" fillId="0" borderId="0" xfId="4" applyNumberFormat="1" applyFont="1" applyBorder="1" applyAlignment="1" applyProtection="1">
      <alignment horizontal="center"/>
    </xf>
    <xf numFmtId="0" fontId="23" fillId="0" borderId="0" xfId="4" applyFont="1" applyFill="1" applyBorder="1" applyAlignment="1" applyProtection="1">
      <alignment horizontal="left"/>
    </xf>
    <xf numFmtId="168" fontId="17" fillId="2" borderId="0" xfId="4" applyNumberFormat="1" applyFont="1" applyFill="1" applyBorder="1" applyAlignment="1" applyProtection="1">
      <alignment horizontal="center" vertical="center"/>
      <protection locked="0"/>
    </xf>
    <xf numFmtId="168" fontId="23" fillId="0" borderId="0" xfId="9" applyNumberFormat="1" applyFont="1" applyBorder="1" applyAlignment="1" applyProtection="1">
      <alignment horizontal="center"/>
    </xf>
    <xf numFmtId="167" fontId="23" fillId="0" borderId="0" xfId="9" applyNumberFormat="1" applyFont="1" applyBorder="1" applyAlignment="1" applyProtection="1">
      <alignment horizontal="center"/>
    </xf>
    <xf numFmtId="0" fontId="17" fillId="0" borderId="0" xfId="4" applyFont="1" applyFill="1" applyBorder="1" applyAlignment="1" applyProtection="1">
      <alignment horizontal="left"/>
    </xf>
    <xf numFmtId="4" fontId="17" fillId="2" borderId="0" xfId="4" applyNumberFormat="1" applyFont="1" applyFill="1" applyBorder="1" applyAlignment="1" applyProtection="1">
      <alignment horizontal="center" vertical="center"/>
      <protection locked="0"/>
    </xf>
    <xf numFmtId="0" fontId="8" fillId="0" borderId="0" xfId="1" applyFont="1" applyFill="1" applyBorder="1" applyAlignment="1" applyProtection="1"/>
    <xf numFmtId="0" fontId="21" fillId="0" borderId="0" xfId="0" applyFont="1" applyBorder="1" applyAlignment="1" applyProtection="1">
      <alignment horizontal="left"/>
    </xf>
    <xf numFmtId="0" fontId="32" fillId="0" borderId="0" xfId="4" applyFont="1" applyAlignment="1" applyProtection="1">
      <alignment horizontal="left"/>
    </xf>
    <xf numFmtId="0" fontId="17" fillId="0" borderId="0" xfId="4" applyFont="1" applyFill="1" applyAlignment="1" applyProtection="1">
      <alignment horizontal="center" vertical="center"/>
    </xf>
    <xf numFmtId="0" fontId="17" fillId="0" borderId="0" xfId="4" applyFont="1" applyFill="1" applyBorder="1" applyAlignment="1" applyProtection="1">
      <alignment horizontal="left" vertical="center" wrapText="1" indent="1"/>
    </xf>
    <xf numFmtId="0" fontId="17" fillId="0" borderId="0" xfId="0" quotePrefix="1" applyFont="1" applyFill="1" applyBorder="1" applyAlignment="1" applyProtection="1">
      <alignment horizontal="left" vertical="center"/>
    </xf>
    <xf numFmtId="0" fontId="3" fillId="0" borderId="0" xfId="2" applyFont="1"/>
    <xf numFmtId="0" fontId="3" fillId="0" borderId="0" xfId="2" applyFont="1" applyProtection="1">
      <protection locked="0"/>
    </xf>
    <xf numFmtId="0" fontId="3" fillId="0" borderId="0" xfId="2" applyFont="1" applyAlignment="1" applyProtection="1">
      <alignment vertical="top"/>
      <protection locked="0"/>
    </xf>
    <xf numFmtId="169" fontId="3" fillId="0" borderId="9" xfId="2" quotePrefix="1" applyNumberFormat="1" applyFont="1" applyBorder="1" applyAlignment="1" applyProtection="1">
      <alignment horizontal="center" vertical="top" wrapText="1"/>
    </xf>
    <xf numFmtId="49" fontId="3" fillId="0" borderId="9" xfId="2" applyNumberFormat="1" applyFont="1" applyBorder="1" applyAlignment="1" applyProtection="1">
      <alignment horizontal="center" vertical="top"/>
    </xf>
    <xf numFmtId="0" fontId="3" fillId="0" borderId="11" xfId="2" applyFont="1" applyFill="1" applyBorder="1" applyAlignment="1" applyProtection="1">
      <alignment horizontal="left" vertical="top"/>
    </xf>
    <xf numFmtId="0" fontId="8" fillId="0" borderId="9" xfId="2" applyFont="1" applyBorder="1" applyAlignment="1" applyProtection="1">
      <alignment horizontal="center" vertical="center" wrapText="1"/>
    </xf>
    <xf numFmtId="0" fontId="3" fillId="0" borderId="0" xfId="2" applyFont="1" applyAlignment="1" applyProtection="1">
      <alignment wrapText="1"/>
      <protection locked="0"/>
    </xf>
    <xf numFmtId="0" fontId="33" fillId="0" borderId="0" xfId="4" applyFont="1" applyAlignment="1" applyProtection="1">
      <alignment vertical="center"/>
    </xf>
    <xf numFmtId="164" fontId="3" fillId="2" borderId="9" xfId="5" applyNumberFormat="1" applyFont="1" applyFill="1" applyBorder="1" applyAlignment="1" applyProtection="1">
      <alignment horizontal="center" vertical="center"/>
      <protection locked="0"/>
    </xf>
    <xf numFmtId="0" fontId="8" fillId="0" borderId="0" xfId="1" applyFont="1" applyFill="1" applyBorder="1" applyAlignment="1" applyProtection="1">
      <alignment vertical="center"/>
    </xf>
    <xf numFmtId="0" fontId="23" fillId="0" borderId="0" xfId="0" applyFont="1" applyFill="1" applyBorder="1" applyAlignment="1" applyProtection="1">
      <alignment horizontal="left"/>
    </xf>
    <xf numFmtId="0" fontId="23" fillId="0" borderId="0" xfId="0" applyFont="1" applyProtection="1"/>
    <xf numFmtId="0" fontId="5" fillId="0" borderId="0" xfId="1" applyFont="1" applyFill="1" applyBorder="1" applyAlignment="1" applyProtection="1">
      <alignment horizontal="left" vertical="center" wrapText="1" indent="1"/>
    </xf>
    <xf numFmtId="0" fontId="0" fillId="0" borderId="0" xfId="0" applyAlignment="1">
      <alignment wrapText="1"/>
    </xf>
    <xf numFmtId="0" fontId="0" fillId="0" borderId="0" xfId="0" applyAlignment="1" applyProtection="1"/>
    <xf numFmtId="0" fontId="8" fillId="0" borderId="9" xfId="2" applyFont="1" applyBorder="1" applyAlignment="1" applyProtection="1">
      <alignment horizontal="center" vertical="center" wrapText="1"/>
    </xf>
    <xf numFmtId="0" fontId="12" fillId="0" borderId="0" xfId="4" applyFont="1" applyFill="1" applyBorder="1" applyProtection="1">
      <protection locked="0"/>
    </xf>
    <xf numFmtId="165" fontId="3" fillId="2" borderId="2" xfId="5" applyNumberFormat="1" applyFont="1" applyFill="1" applyBorder="1" applyAlignment="1" applyProtection="1">
      <alignment horizontal="center" vertical="center"/>
      <protection locked="0"/>
    </xf>
    <xf numFmtId="170" fontId="3" fillId="2" borderId="2" xfId="5" applyNumberFormat="1" applyFont="1" applyFill="1" applyBorder="1" applyAlignment="1" applyProtection="1">
      <alignment horizontal="center" vertical="center"/>
      <protection locked="0"/>
    </xf>
    <xf numFmtId="0" fontId="9" fillId="0" borderId="0" xfId="4" applyProtection="1"/>
    <xf numFmtId="3" fontId="3" fillId="0" borderId="0" xfId="4" applyNumberFormat="1" applyFont="1" applyFill="1" applyBorder="1" applyAlignment="1" applyProtection="1">
      <alignment horizontal="center"/>
    </xf>
    <xf numFmtId="0" fontId="19" fillId="0" borderId="0" xfId="4" applyFont="1" applyFill="1" applyBorder="1" applyAlignment="1" applyProtection="1"/>
    <xf numFmtId="4" fontId="3" fillId="0" borderId="0" xfId="5" applyNumberFormat="1" applyFont="1" applyFill="1" applyBorder="1" applyAlignment="1" applyProtection="1">
      <alignment horizontal="right" vertical="center" indent="1"/>
    </xf>
    <xf numFmtId="0" fontId="3" fillId="0" borderId="0" xfId="4" applyFont="1" applyBorder="1" applyProtection="1"/>
    <xf numFmtId="0" fontId="3" fillId="0" borderId="0" xfId="4" applyFont="1" applyFill="1" applyBorder="1" applyProtection="1"/>
    <xf numFmtId="0" fontId="3" fillId="0" borderId="0" xfId="4" applyFont="1" applyProtection="1"/>
    <xf numFmtId="0" fontId="34" fillId="0" borderId="0" xfId="4" applyFont="1" applyAlignment="1" applyProtection="1">
      <alignment horizontal="left"/>
    </xf>
    <xf numFmtId="0" fontId="34" fillId="0" borderId="0" xfId="4" applyFont="1" applyAlignment="1" applyProtection="1">
      <alignment horizontal="center"/>
    </xf>
    <xf numFmtId="0" fontId="12" fillId="0" borderId="0" xfId="4" applyFont="1" applyFill="1" applyBorder="1" applyProtection="1"/>
    <xf numFmtId="0" fontId="12" fillId="0" borderId="0" xfId="4" applyFont="1" applyBorder="1" applyProtection="1"/>
    <xf numFmtId="0" fontId="24" fillId="0" borderId="0" xfId="4" applyFont="1" applyFill="1" applyBorder="1" applyProtection="1"/>
    <xf numFmtId="0" fontId="12" fillId="0" borderId="0" xfId="4" applyFont="1" applyFill="1" applyBorder="1" applyAlignment="1" applyProtection="1">
      <alignment horizontal="left"/>
    </xf>
    <xf numFmtId="0" fontId="5" fillId="0" borderId="0" xfId="2" applyFont="1" applyAlignment="1" applyProtection="1">
      <alignment horizontal="left" vertical="center"/>
    </xf>
    <xf numFmtId="0" fontId="23" fillId="0" borderId="0" xfId="0" applyFont="1" applyFill="1" applyBorder="1" applyProtection="1"/>
    <xf numFmtId="0" fontId="3" fillId="0" borderId="0" xfId="0" applyFont="1" applyProtection="1"/>
    <xf numFmtId="0" fontId="15" fillId="0" borderId="0" xfId="0" applyFont="1" applyProtection="1"/>
    <xf numFmtId="0" fontId="37" fillId="0" borderId="0" xfId="0" applyFont="1" applyFill="1" applyBorder="1" applyAlignment="1" applyProtection="1">
      <alignment horizontal="center" wrapText="1"/>
    </xf>
    <xf numFmtId="0" fontId="38" fillId="0" borderId="0" xfId="0" applyFont="1" applyFill="1" applyBorder="1" applyAlignment="1" applyProtection="1">
      <alignment horizontal="center" wrapText="1"/>
    </xf>
    <xf numFmtId="6" fontId="17" fillId="0" borderId="2" xfId="7" applyNumberFormat="1" applyFont="1" applyFill="1" applyBorder="1" applyAlignment="1" applyProtection="1">
      <alignment horizontal="center" vertical="center"/>
    </xf>
    <xf numFmtId="38" fontId="17" fillId="0" borderId="2" xfId="7" applyNumberFormat="1" applyFont="1" applyFill="1" applyBorder="1" applyAlignment="1" applyProtection="1">
      <alignment horizontal="center" vertical="center"/>
    </xf>
    <xf numFmtId="9" fontId="17" fillId="0" borderId="2" xfId="7" applyNumberFormat="1" applyFont="1" applyFill="1" applyBorder="1" applyAlignment="1" applyProtection="1">
      <alignment horizontal="center" vertical="center"/>
    </xf>
    <xf numFmtId="165" fontId="17" fillId="0" borderId="2" xfId="7" applyNumberFormat="1" applyFont="1" applyFill="1" applyBorder="1" applyAlignment="1" applyProtection="1">
      <alignment horizontal="center" vertical="center"/>
    </xf>
    <xf numFmtId="0" fontId="37" fillId="0" borderId="0" xfId="0" applyFont="1" applyFill="1" applyBorder="1" applyAlignment="1" applyProtection="1">
      <alignment horizontal="center"/>
    </xf>
    <xf numFmtId="0" fontId="0" fillId="0" borderId="0" xfId="0" applyAlignment="1">
      <alignment horizontal="center"/>
    </xf>
    <xf numFmtId="0" fontId="34" fillId="0" borderId="0" xfId="4" applyFont="1" applyProtection="1">
      <protection locked="0"/>
    </xf>
    <xf numFmtId="0" fontId="12" fillId="0" borderId="0" xfId="4" applyFont="1"/>
    <xf numFmtId="0" fontId="12" fillId="0" borderId="0" xfId="4" applyFont="1" applyFill="1" applyProtection="1">
      <protection locked="0"/>
    </xf>
    <xf numFmtId="165" fontId="12" fillId="0" borderId="0" xfId="4" applyNumberFormat="1" applyFont="1" applyFill="1" applyAlignment="1" applyProtection="1">
      <alignment horizontal="right"/>
      <protection locked="0"/>
    </xf>
    <xf numFmtId="0" fontId="12" fillId="0" borderId="0" xfId="4" applyFont="1" applyFill="1" applyAlignment="1" applyProtection="1">
      <alignment horizontal="left"/>
      <protection locked="0"/>
    </xf>
    <xf numFmtId="166" fontId="17" fillId="0" borderId="0" xfId="4" applyNumberFormat="1" applyFont="1" applyFill="1" applyBorder="1" applyAlignment="1" applyProtection="1">
      <alignment horizontal="center" vertical="center"/>
    </xf>
    <xf numFmtId="0" fontId="23" fillId="0" borderId="0" xfId="0" applyFont="1" applyFill="1" applyProtection="1"/>
    <xf numFmtId="0" fontId="40" fillId="0" borderId="0" xfId="0" applyFont="1" applyAlignment="1" applyProtection="1">
      <alignment horizontal="left" indent="1"/>
    </xf>
    <xf numFmtId="0" fontId="20" fillId="0" borderId="0" xfId="4" applyFont="1" applyAlignment="1">
      <alignment vertical="center" textRotation="90"/>
    </xf>
    <xf numFmtId="0" fontId="17" fillId="0" borderId="0" xfId="4" applyFont="1" applyFill="1" applyAlignment="1">
      <alignment vertical="center"/>
    </xf>
    <xf numFmtId="0" fontId="17" fillId="0" borderId="0" xfId="4" applyFont="1" applyAlignment="1">
      <alignment vertical="center"/>
    </xf>
    <xf numFmtId="0" fontId="17" fillId="0" borderId="0" xfId="4" applyFont="1" applyFill="1" applyBorder="1" applyAlignment="1" applyProtection="1">
      <alignment vertical="center"/>
      <protection locked="0"/>
    </xf>
    <xf numFmtId="0" fontId="17" fillId="0" borderId="0" xfId="4" applyFont="1"/>
    <xf numFmtId="0" fontId="17" fillId="2" borderId="2" xfId="5" applyNumberFormat="1" applyFont="1" applyFill="1" applyBorder="1" applyAlignment="1" applyProtection="1">
      <alignment horizontal="center" vertical="center"/>
      <protection locked="0"/>
    </xf>
    <xf numFmtId="0" fontId="17" fillId="0" borderId="2" xfId="4" applyFont="1" applyFill="1" applyBorder="1" applyAlignment="1">
      <alignment horizontal="center" vertical="center"/>
    </xf>
    <xf numFmtId="37" fontId="17" fillId="2" borderId="2" xfId="5" applyNumberFormat="1" applyFont="1" applyFill="1" applyBorder="1" applyAlignment="1" applyProtection="1">
      <alignment horizontal="center" vertical="center"/>
      <protection locked="0"/>
    </xf>
    <xf numFmtId="164" fontId="17" fillId="2" borderId="2" xfId="5" applyNumberFormat="1" applyFont="1" applyFill="1" applyBorder="1" applyAlignment="1" applyProtection="1">
      <alignment horizontal="center" vertical="center"/>
      <protection locked="0"/>
    </xf>
    <xf numFmtId="0" fontId="20" fillId="0" borderId="0" xfId="4" applyFont="1" applyFill="1" applyBorder="1" applyAlignment="1">
      <alignment vertical="center"/>
    </xf>
    <xf numFmtId="0" fontId="17" fillId="0" borderId="2" xfId="4" applyFont="1" applyBorder="1" applyAlignment="1">
      <alignment vertical="center"/>
    </xf>
    <xf numFmtId="165" fontId="17" fillId="0" borderId="2" xfId="4" applyNumberFormat="1" applyFont="1" applyBorder="1" applyAlignment="1">
      <alignment horizontal="center" vertical="center"/>
    </xf>
    <xf numFmtId="0" fontId="20" fillId="0" borderId="0" xfId="4" applyFont="1" applyFill="1" applyBorder="1" applyAlignment="1">
      <alignment horizontal="center" vertical="center"/>
    </xf>
    <xf numFmtId="37" fontId="17" fillId="0" borderId="2" xfId="5" applyNumberFormat="1" applyFont="1" applyFill="1" applyBorder="1" applyAlignment="1" applyProtection="1">
      <alignment horizontal="center" vertical="center"/>
      <protection locked="0"/>
    </xf>
    <xf numFmtId="165" fontId="17" fillId="0" borderId="2" xfId="4" applyNumberFormat="1" applyFont="1" applyFill="1" applyBorder="1" applyAlignment="1">
      <alignment horizontal="center" vertical="center"/>
    </xf>
    <xf numFmtId="0" fontId="17" fillId="0" borderId="2" xfId="4" applyFont="1" applyFill="1" applyBorder="1" applyAlignment="1">
      <alignment vertical="center"/>
    </xf>
    <xf numFmtId="3" fontId="17" fillId="0" borderId="2" xfId="4" applyNumberFormat="1" applyFont="1" applyBorder="1" applyAlignment="1">
      <alignment horizontal="center" vertical="center"/>
    </xf>
    <xf numFmtId="3" fontId="17" fillId="0" borderId="2" xfId="4" applyNumberFormat="1" applyFont="1" applyFill="1" applyBorder="1" applyAlignment="1">
      <alignment horizontal="center" vertical="center"/>
    </xf>
    <xf numFmtId="165" fontId="17" fillId="0" borderId="0" xfId="4" applyNumberFormat="1" applyFont="1" applyFill="1" applyBorder="1" applyAlignment="1">
      <alignment horizontal="center" vertical="center"/>
    </xf>
    <xf numFmtId="0" fontId="17" fillId="3" borderId="0" xfId="2" applyFont="1" applyFill="1"/>
    <xf numFmtId="0" fontId="20" fillId="3" borderId="0" xfId="4" applyFont="1" applyFill="1" applyAlignment="1">
      <alignment vertical="center"/>
    </xf>
    <xf numFmtId="0" fontId="17" fillId="3" borderId="0" xfId="2" applyFont="1" applyFill="1" applyAlignment="1">
      <alignment vertical="center"/>
    </xf>
    <xf numFmtId="0" fontId="17" fillId="3" borderId="0" xfId="4" applyFont="1" applyFill="1" applyBorder="1" applyAlignment="1" applyProtection="1">
      <alignment vertical="center"/>
      <protection locked="0"/>
    </xf>
    <xf numFmtId="0" fontId="17" fillId="3" borderId="0" xfId="4" applyFont="1" applyFill="1" applyAlignment="1">
      <alignment vertical="center"/>
    </xf>
    <xf numFmtId="0" fontId="17" fillId="3" borderId="0" xfId="4" applyFont="1" applyFill="1"/>
    <xf numFmtId="0" fontId="17" fillId="3" borderId="0" xfId="4" applyFont="1" applyFill="1" applyBorder="1" applyAlignment="1">
      <alignment vertical="center"/>
    </xf>
    <xf numFmtId="0" fontId="17" fillId="3" borderId="0" xfId="4" applyFont="1" applyFill="1" applyBorder="1" applyAlignment="1" applyProtection="1">
      <alignment horizontal="left" vertical="center"/>
      <protection locked="0"/>
    </xf>
    <xf numFmtId="165" fontId="17" fillId="3" borderId="0" xfId="4" applyNumberFormat="1" applyFont="1" applyFill="1" applyBorder="1" applyAlignment="1" applyProtection="1">
      <alignment horizontal="right" vertical="center"/>
      <protection locked="0"/>
    </xf>
    <xf numFmtId="0" fontId="17" fillId="0" borderId="0" xfId="4" applyFont="1" applyFill="1" applyProtection="1">
      <protection locked="0"/>
    </xf>
    <xf numFmtId="0" fontId="17" fillId="0" borderId="0" xfId="4" applyFont="1" applyFill="1" applyBorder="1" applyProtection="1">
      <protection locked="0"/>
    </xf>
    <xf numFmtId="165" fontId="17" fillId="0" borderId="0" xfId="4" applyNumberFormat="1" applyFont="1" applyFill="1" applyAlignment="1" applyProtection="1">
      <alignment horizontal="right" vertical="center"/>
      <protection locked="0"/>
    </xf>
    <xf numFmtId="0" fontId="17" fillId="0" borderId="0" xfId="4" applyFont="1" applyFill="1" applyAlignment="1" applyProtection="1">
      <alignment horizontal="left" vertical="center"/>
      <protection locked="0"/>
    </xf>
    <xf numFmtId="0" fontId="17" fillId="0" borderId="0" xfId="4" applyFont="1" applyFill="1" applyAlignment="1" applyProtection="1">
      <alignment horizontal="left"/>
      <protection locked="0"/>
    </xf>
    <xf numFmtId="165" fontId="17" fillId="0" borderId="0" xfId="4" applyNumberFormat="1" applyFont="1" applyFill="1" applyAlignment="1" applyProtection="1">
      <alignment horizontal="right"/>
      <protection locked="0"/>
    </xf>
    <xf numFmtId="0" fontId="23" fillId="0" borderId="1" xfId="0" applyFont="1" applyFill="1" applyBorder="1" applyProtection="1"/>
    <xf numFmtId="0" fontId="23" fillId="0" borderId="1" xfId="0" applyFont="1" applyFill="1" applyBorder="1" applyAlignment="1" applyProtection="1">
      <alignment horizontal="left"/>
    </xf>
    <xf numFmtId="0" fontId="23" fillId="0" borderId="1" xfId="0" applyFont="1" applyFill="1" applyBorder="1" applyAlignment="1" applyProtection="1">
      <alignment horizontal="center"/>
    </xf>
    <xf numFmtId="0" fontId="23" fillId="0" borderId="0" xfId="0" applyFont="1" applyFill="1" applyAlignment="1" applyProtection="1">
      <alignment horizontal="left"/>
    </xf>
    <xf numFmtId="0" fontId="23" fillId="0" borderId="0" xfId="0" applyFont="1" applyFill="1" applyAlignment="1" applyProtection="1">
      <alignment horizontal="center"/>
    </xf>
    <xf numFmtId="0" fontId="21" fillId="0" borderId="0" xfId="0" applyFont="1" applyFill="1" applyBorder="1" applyAlignment="1" applyProtection="1">
      <alignment horizontal="left"/>
    </xf>
    <xf numFmtId="167" fontId="23" fillId="0" borderId="0" xfId="13" applyNumberFormat="1" applyFont="1" applyFill="1" applyBorder="1" applyAlignment="1" applyProtection="1">
      <alignment horizontal="center"/>
    </xf>
    <xf numFmtId="167" fontId="23"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0" fontId="23" fillId="0" borderId="0" xfId="0" applyFont="1" applyBorder="1" applyAlignment="1" applyProtection="1">
      <alignment horizontal="left"/>
    </xf>
    <xf numFmtId="0" fontId="20" fillId="0" borderId="0" xfId="0" applyFont="1" applyBorder="1" applyAlignment="1" applyProtection="1"/>
    <xf numFmtId="0" fontId="17" fillId="0" borderId="0" xfId="8" applyFont="1" applyFill="1" applyProtection="1"/>
    <xf numFmtId="0" fontId="21" fillId="0" borderId="0" xfId="0" applyFont="1" applyFill="1" applyBorder="1" applyAlignment="1" applyProtection="1">
      <alignment horizontal="left" vertical="center"/>
    </xf>
    <xf numFmtId="0" fontId="12" fillId="0" borderId="0" xfId="4" applyFont="1" applyFill="1" applyAlignment="1" applyProtection="1">
      <alignment vertical="center"/>
      <protection locked="0"/>
    </xf>
    <xf numFmtId="0" fontId="17" fillId="0" borderId="0" xfId="0" quotePrefix="1" applyFont="1" applyFill="1" applyAlignment="1" applyProtection="1">
      <alignment horizontal="left" vertical="center"/>
    </xf>
    <xf numFmtId="0" fontId="17" fillId="0" borderId="0" xfId="0" applyFont="1" applyFill="1" applyAlignment="1" applyProtection="1">
      <alignment horizontal="left"/>
    </xf>
    <xf numFmtId="1" fontId="17" fillId="0" borderId="2" xfId="7" applyNumberFormat="1" applyFont="1" applyFill="1" applyBorder="1" applyAlignment="1" applyProtection="1">
      <alignment horizontal="center" vertical="center"/>
    </xf>
    <xf numFmtId="0" fontId="17" fillId="3" borderId="9" xfId="2" applyFont="1" applyFill="1" applyBorder="1" applyAlignment="1">
      <alignment vertical="center"/>
    </xf>
    <xf numFmtId="0" fontId="20" fillId="3" borderId="0" xfId="4" applyFont="1" applyFill="1" applyBorder="1" applyAlignment="1">
      <alignment vertical="center"/>
    </xf>
    <xf numFmtId="0" fontId="17" fillId="3" borderId="0" xfId="2" applyFont="1" applyFill="1" applyBorder="1" applyAlignment="1">
      <alignment vertical="center"/>
    </xf>
    <xf numFmtId="1" fontId="17" fillId="3" borderId="9" xfId="2" applyNumberFormat="1" applyFont="1" applyFill="1" applyBorder="1" applyAlignment="1">
      <alignment horizontal="center" vertical="center"/>
    </xf>
    <xf numFmtId="0" fontId="21" fillId="3" borderId="0" xfId="0" applyFont="1" applyFill="1" applyBorder="1" applyAlignment="1" applyProtection="1">
      <alignment horizontal="left"/>
    </xf>
    <xf numFmtId="0" fontId="23" fillId="3" borderId="0" xfId="0" applyFont="1" applyFill="1" applyBorder="1" applyAlignment="1" applyProtection="1">
      <alignment horizontal="left"/>
    </xf>
    <xf numFmtId="0" fontId="3" fillId="3" borderId="0" xfId="0" applyFont="1" applyFill="1" applyBorder="1" applyAlignment="1" applyProtection="1">
      <alignment horizontal="center"/>
    </xf>
    <xf numFmtId="0" fontId="23" fillId="3" borderId="0" xfId="0" applyFont="1" applyFill="1" applyProtection="1"/>
    <xf numFmtId="0" fontId="12" fillId="3" borderId="0" xfId="4" applyFont="1" applyFill="1"/>
    <xf numFmtId="0" fontId="17" fillId="3" borderId="6" xfId="2" applyFont="1" applyFill="1" applyBorder="1" applyAlignment="1">
      <alignment vertical="center"/>
    </xf>
    <xf numFmtId="0" fontId="17" fillId="3" borderId="13" xfId="2" applyFont="1" applyFill="1" applyBorder="1" applyAlignment="1">
      <alignment vertical="center"/>
    </xf>
    <xf numFmtId="0" fontId="17" fillId="3" borderId="1" xfId="4" applyFont="1" applyFill="1" applyBorder="1" applyAlignment="1">
      <alignment vertical="center"/>
    </xf>
    <xf numFmtId="0" fontId="17" fillId="3" borderId="14" xfId="4" applyFont="1" applyFill="1" applyBorder="1" applyAlignment="1" applyProtection="1">
      <alignment horizontal="left" vertical="center"/>
      <protection locked="0"/>
    </xf>
    <xf numFmtId="0" fontId="17" fillId="3" borderId="15" xfId="4" applyFont="1" applyFill="1" applyBorder="1" applyAlignment="1" applyProtection="1">
      <alignment horizontal="left" vertical="center"/>
      <protection locked="0"/>
    </xf>
    <xf numFmtId="0" fontId="17" fillId="3" borderId="14" xfId="4" applyFont="1" applyFill="1" applyBorder="1" applyAlignment="1" applyProtection="1">
      <alignment vertical="center"/>
      <protection locked="0"/>
    </xf>
    <xf numFmtId="0" fontId="17" fillId="3" borderId="15" xfId="4" applyFont="1" applyFill="1" applyBorder="1" applyAlignment="1" applyProtection="1">
      <alignment vertical="center"/>
      <protection locked="0"/>
    </xf>
    <xf numFmtId="0" fontId="17" fillId="3" borderId="6" xfId="2" applyFont="1" applyFill="1" applyBorder="1" applyAlignment="1">
      <alignment horizontal="left" vertical="center"/>
    </xf>
    <xf numFmtId="0" fontId="17" fillId="3" borderId="1" xfId="2" applyFont="1" applyFill="1" applyBorder="1" applyAlignment="1">
      <alignment vertical="center"/>
    </xf>
    <xf numFmtId="0" fontId="17" fillId="3" borderId="0" xfId="2" applyFont="1" applyFill="1" applyBorder="1" applyAlignment="1">
      <alignment horizontal="left" vertical="center"/>
    </xf>
    <xf numFmtId="0" fontId="17" fillId="3" borderId="13" xfId="4" applyFont="1" applyFill="1" applyBorder="1" applyAlignment="1" applyProtection="1">
      <alignment horizontal="left" vertical="center"/>
      <protection locked="0"/>
    </xf>
    <xf numFmtId="0" fontId="17" fillId="0" borderId="0" xfId="4" applyFont="1" applyAlignment="1">
      <alignment horizontal="center"/>
    </xf>
    <xf numFmtId="0" fontId="20" fillId="3" borderId="11" xfId="4" applyFont="1" applyFill="1" applyBorder="1" applyAlignment="1">
      <alignment vertical="center"/>
    </xf>
    <xf numFmtId="0" fontId="20" fillId="3" borderId="12" xfId="4" applyFont="1" applyFill="1" applyBorder="1" applyAlignment="1">
      <alignment vertical="center"/>
    </xf>
    <xf numFmtId="0" fontId="20" fillId="0" borderId="9" xfId="0" applyFont="1" applyBorder="1" applyAlignment="1" applyProtection="1">
      <alignment horizontal="center"/>
    </xf>
    <xf numFmtId="0" fontId="17" fillId="0" borderId="0" xfId="4" applyFont="1" applyAlignment="1" applyProtection="1">
      <alignment vertical="center"/>
    </xf>
    <xf numFmtId="0" fontId="17" fillId="0" borderId="9" xfId="4" applyFont="1" applyFill="1" applyBorder="1" applyAlignment="1" applyProtection="1">
      <alignment horizontal="center"/>
    </xf>
    <xf numFmtId="37" fontId="17" fillId="0" borderId="2" xfId="5" applyNumberFormat="1" applyFont="1" applyFill="1" applyBorder="1" applyAlignment="1" applyProtection="1">
      <alignment horizontal="center" vertical="center"/>
    </xf>
    <xf numFmtId="5" fontId="17" fillId="0" borderId="2" xfId="5" applyNumberFormat="1" applyFont="1" applyFill="1" applyBorder="1" applyAlignment="1" applyProtection="1">
      <alignment horizontal="center" vertical="center"/>
    </xf>
    <xf numFmtId="0" fontId="17" fillId="0" borderId="0" xfId="4" applyFont="1" applyFill="1" applyAlignment="1" applyProtection="1">
      <alignment vertical="center"/>
    </xf>
    <xf numFmtId="0" fontId="43" fillId="3" borderId="10" xfId="4" applyFont="1" applyFill="1" applyBorder="1" applyAlignment="1" applyProtection="1">
      <alignment horizontal="left" vertical="center"/>
      <protection locked="0"/>
    </xf>
    <xf numFmtId="0" fontId="43" fillId="3" borderId="12" xfId="4" applyFont="1" applyFill="1" applyBorder="1" applyAlignment="1" applyProtection="1">
      <alignment horizontal="left" vertical="center"/>
      <protection locked="0"/>
    </xf>
    <xf numFmtId="0" fontId="44" fillId="0" borderId="0" xfId="4" applyFont="1" applyFill="1" applyAlignment="1">
      <alignment vertical="center"/>
    </xf>
    <xf numFmtId="0" fontId="45" fillId="0" borderId="0" xfId="4" applyFont="1" applyAlignment="1" applyProtection="1">
      <alignment horizontal="left" vertical="center"/>
    </xf>
    <xf numFmtId="0" fontId="41" fillId="0" borderId="0" xfId="6" applyFont="1" applyAlignment="1">
      <alignment vertical="center"/>
    </xf>
    <xf numFmtId="170" fontId="17" fillId="3" borderId="9" xfId="2" applyNumberFormat="1" applyFont="1" applyFill="1" applyBorder="1" applyAlignment="1">
      <alignment horizontal="center" vertical="center"/>
    </xf>
    <xf numFmtId="37" fontId="17" fillId="2" borderId="9" xfId="5" applyNumberFormat="1" applyFont="1" applyFill="1" applyBorder="1" applyAlignment="1" applyProtection="1">
      <alignment horizontal="center" vertical="center"/>
      <protection locked="0"/>
    </xf>
    <xf numFmtId="0" fontId="7" fillId="0" borderId="0" xfId="1" applyFont="1" applyFill="1" applyBorder="1" applyAlignment="1" applyProtection="1">
      <alignment horizontal="left" vertical="center"/>
    </xf>
    <xf numFmtId="5" fontId="3" fillId="2" borderId="9" xfId="5" applyNumberFormat="1" applyFont="1" applyFill="1" applyBorder="1" applyAlignment="1" applyProtection="1">
      <alignment horizontal="center" vertical="center"/>
      <protection locked="0"/>
    </xf>
    <xf numFmtId="0" fontId="43" fillId="3" borderId="9" xfId="4" applyFont="1" applyFill="1" applyBorder="1" applyAlignment="1" applyProtection="1">
      <alignment horizontal="left" vertical="center"/>
      <protection locked="0"/>
    </xf>
    <xf numFmtId="164" fontId="17" fillId="2" borderId="9" xfId="5" applyNumberFormat="1" applyFont="1" applyFill="1" applyBorder="1" applyAlignment="1" applyProtection="1">
      <alignment horizontal="center" vertical="center"/>
      <protection locked="0"/>
    </xf>
    <xf numFmtId="0" fontId="17" fillId="0" borderId="0" xfId="0" applyFont="1" applyFill="1" applyAlignment="1" applyProtection="1">
      <alignment horizontal="left"/>
      <protection locked="0"/>
    </xf>
    <xf numFmtId="0" fontId="17" fillId="3" borderId="17" xfId="2" applyFont="1" applyFill="1" applyBorder="1" applyAlignment="1">
      <alignment vertical="center"/>
    </xf>
    <xf numFmtId="164" fontId="17" fillId="0" borderId="2" xfId="5" applyNumberFormat="1" applyFont="1" applyFill="1" applyBorder="1" applyAlignment="1" applyProtection="1">
      <alignment horizontal="center" vertical="center"/>
    </xf>
    <xf numFmtId="164" fontId="17" fillId="0" borderId="9" xfId="5" applyNumberFormat="1" applyFont="1" applyFill="1" applyBorder="1" applyAlignment="1" applyProtection="1">
      <alignment horizontal="center" vertical="center"/>
    </xf>
    <xf numFmtId="0" fontId="17" fillId="3" borderId="18" xfId="2" applyFont="1" applyFill="1" applyBorder="1" applyAlignment="1">
      <alignment vertical="center"/>
    </xf>
    <xf numFmtId="0" fontId="41" fillId="0" borderId="0" xfId="6" quotePrefix="1" applyFont="1" applyFill="1" applyAlignment="1" applyProtection="1">
      <alignment horizontal="left" vertical="center"/>
    </xf>
    <xf numFmtId="0" fontId="41" fillId="0" borderId="0" xfId="6" applyFont="1" applyAlignment="1">
      <alignment vertical="center"/>
    </xf>
    <xf numFmtId="0" fontId="42" fillId="0" borderId="0" xfId="0" applyFont="1" applyAlignment="1"/>
    <xf numFmtId="0" fontId="17" fillId="0" borderId="0" xfId="4" applyFont="1" applyFill="1" applyAlignment="1" applyProtection="1">
      <alignment vertical="center"/>
      <protection locked="0"/>
    </xf>
    <xf numFmtId="0" fontId="47" fillId="0" borderId="0" xfId="4" applyFont="1" applyFill="1" applyProtection="1">
      <protection locked="0"/>
    </xf>
    <xf numFmtId="0" fontId="17" fillId="0" borderId="0" xfId="0" applyFont="1" applyAlignment="1" applyProtection="1">
      <alignment horizontal="left" vertical="center"/>
    </xf>
    <xf numFmtId="0" fontId="31" fillId="0" borderId="0" xfId="0" applyFont="1" applyProtection="1"/>
    <xf numFmtId="0" fontId="23" fillId="0" borderId="0" xfId="0" applyFont="1" applyAlignment="1" applyProtection="1">
      <alignment horizontal="center"/>
    </xf>
    <xf numFmtId="0" fontId="17" fillId="0" borderId="0" xfId="2" applyFont="1" applyAlignment="1" applyProtection="1">
      <alignment horizontal="left" vertical="center"/>
    </xf>
    <xf numFmtId="0" fontId="20" fillId="3" borderId="9" xfId="2" applyFont="1" applyFill="1" applyBorder="1" applyAlignment="1">
      <alignment horizontal="center" vertical="center"/>
    </xf>
    <xf numFmtId="0" fontId="17" fillId="5" borderId="9" xfId="4" applyFont="1" applyFill="1" applyBorder="1" applyAlignment="1" applyProtection="1">
      <alignment horizontal="center"/>
    </xf>
    <xf numFmtId="5" fontId="17" fillId="5" borderId="2" xfId="5" applyNumberFormat="1" applyFont="1" applyFill="1" applyBorder="1" applyAlignment="1" applyProtection="1">
      <alignment horizontal="center" vertical="center"/>
    </xf>
    <xf numFmtId="0" fontId="17" fillId="5" borderId="6" xfId="2" applyFont="1" applyFill="1" applyBorder="1" applyAlignment="1">
      <alignment vertical="center"/>
    </xf>
    <xf numFmtId="0" fontId="20" fillId="5" borderId="0" xfId="4" applyFont="1" applyFill="1" applyBorder="1" applyAlignment="1">
      <alignment horizontal="center" vertical="center"/>
    </xf>
    <xf numFmtId="170" fontId="17" fillId="5" borderId="9" xfId="2" applyNumberFormat="1" applyFont="1" applyFill="1" applyBorder="1" applyAlignment="1">
      <alignment horizontal="center" vertical="center"/>
    </xf>
    <xf numFmtId="0" fontId="20" fillId="6" borderId="9" xfId="2" applyFont="1" applyFill="1" applyBorder="1" applyAlignment="1">
      <alignment horizontal="center" vertical="center"/>
    </xf>
    <xf numFmtId="0" fontId="17" fillId="6" borderId="0" xfId="4" applyFont="1" applyFill="1" applyAlignment="1">
      <alignment vertical="center"/>
    </xf>
    <xf numFmtId="0" fontId="17" fillId="5" borderId="9" xfId="2" applyFont="1" applyFill="1" applyBorder="1" applyAlignment="1">
      <alignment vertical="center"/>
    </xf>
    <xf numFmtId="0" fontId="17" fillId="5" borderId="14" xfId="4" applyFont="1" applyFill="1" applyBorder="1" applyAlignment="1" applyProtection="1">
      <alignment horizontal="left" vertical="center"/>
      <protection locked="0"/>
    </xf>
    <xf numFmtId="164" fontId="17" fillId="7" borderId="2" xfId="5" applyNumberFormat="1" applyFont="1" applyFill="1" applyBorder="1" applyAlignment="1" applyProtection="1">
      <alignment horizontal="center" vertical="center"/>
      <protection locked="0"/>
    </xf>
    <xf numFmtId="170" fontId="17" fillId="8" borderId="9" xfId="2" applyNumberFormat="1" applyFont="1" applyFill="1" applyBorder="1" applyAlignment="1">
      <alignment horizontal="center" vertical="center"/>
    </xf>
    <xf numFmtId="0" fontId="7" fillId="3" borderId="0" xfId="1" applyFont="1" applyFill="1" applyBorder="1" applyAlignment="1" applyProtection="1">
      <alignment vertical="center"/>
    </xf>
    <xf numFmtId="0" fontId="5" fillId="3" borderId="0"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12" fillId="0" borderId="0" xfId="3" applyFont="1" applyFill="1" applyAlignment="1" applyProtection="1">
      <alignment horizontal="left" vertical="center" indent="11"/>
    </xf>
    <xf numFmtId="0" fontId="35" fillId="0" borderId="0" xfId="6" applyFont="1" applyBorder="1" applyAlignment="1" applyProtection="1">
      <alignment vertical="center"/>
    </xf>
    <xf numFmtId="0" fontId="35" fillId="0" borderId="0" xfId="6" applyFont="1" applyBorder="1" applyAlignment="1" applyProtection="1"/>
    <xf numFmtId="0" fontId="3" fillId="0" borderId="0" xfId="1" applyFont="1" applyBorder="1" applyAlignment="1" applyProtection="1">
      <alignment horizontal="left" vertical="center"/>
    </xf>
    <xf numFmtId="0" fontId="23" fillId="0" borderId="0" xfId="4" applyFont="1" applyFill="1" applyProtection="1"/>
    <xf numFmtId="164" fontId="17" fillId="2" borderId="11" xfId="5" applyNumberFormat="1" applyFont="1" applyFill="1" applyBorder="1" applyAlignment="1" applyProtection="1">
      <alignment horizontal="center" vertical="center"/>
      <protection locked="0"/>
    </xf>
    <xf numFmtId="165" fontId="17" fillId="0" borderId="11" xfId="4" applyNumberFormat="1" applyFont="1" applyFill="1" applyBorder="1" applyAlignment="1">
      <alignment horizontal="center" vertical="center"/>
    </xf>
    <xf numFmtId="165" fontId="17" fillId="0" borderId="6" xfId="4" applyNumberFormat="1" applyFont="1" applyFill="1" applyBorder="1" applyAlignment="1">
      <alignment horizontal="center" vertical="center"/>
    </xf>
    <xf numFmtId="37" fontId="17" fillId="0" borderId="6" xfId="5" applyNumberFormat="1" applyFont="1" applyFill="1" applyBorder="1" applyAlignment="1" applyProtection="1">
      <alignment horizontal="center" vertical="center"/>
      <protection locked="0"/>
    </xf>
    <xf numFmtId="0" fontId="17" fillId="0" borderId="9" xfId="4" applyFont="1" applyFill="1" applyBorder="1" applyAlignment="1">
      <alignment vertical="center" wrapText="1"/>
    </xf>
    <xf numFmtId="0" fontId="17" fillId="0" borderId="2" xfId="4" applyFont="1" applyBorder="1" applyAlignment="1">
      <alignment vertical="center" wrapText="1"/>
    </xf>
    <xf numFmtId="37" fontId="3" fillId="11" borderId="18" xfId="5" applyNumberFormat="1" applyFont="1" applyFill="1" applyBorder="1" applyAlignment="1" applyProtection="1">
      <alignment horizontal="center" vertical="center"/>
      <protection locked="0"/>
    </xf>
    <xf numFmtId="0" fontId="8" fillId="10" borderId="6" xfId="1" applyFont="1" applyFill="1" applyBorder="1" applyAlignment="1" applyProtection="1">
      <alignment vertical="center" wrapText="1"/>
    </xf>
    <xf numFmtId="0" fontId="8" fillId="10" borderId="6" xfId="1" applyFont="1" applyFill="1" applyBorder="1" applyAlignment="1" applyProtection="1">
      <alignment horizontal="left" vertical="center"/>
    </xf>
    <xf numFmtId="0" fontId="8" fillId="10" borderId="13" xfId="1" applyFont="1" applyFill="1" applyBorder="1" applyAlignment="1" applyProtection="1">
      <alignment horizontal="left" vertical="center"/>
    </xf>
    <xf numFmtId="169" fontId="10" fillId="0" borderId="9" xfId="6" applyNumberFormat="1" applyBorder="1" applyAlignment="1" applyProtection="1">
      <alignment horizontal="center" vertical="center" wrapText="1"/>
    </xf>
    <xf numFmtId="0" fontId="21" fillId="0" borderId="0" xfId="1" applyFont="1" applyFill="1" applyBorder="1" applyAlignment="1" applyProtection="1">
      <alignment vertical="center"/>
    </xf>
    <xf numFmtId="166" fontId="3" fillId="2" borderId="9" xfId="1" applyNumberFormat="1" applyFont="1" applyFill="1" applyBorder="1" applyAlignment="1" applyProtection="1">
      <alignment horizontal="center" vertical="center"/>
      <protection locked="0"/>
    </xf>
    <xf numFmtId="0" fontId="39" fillId="0" borderId="0" xfId="6" applyFont="1" applyAlignment="1" applyProtection="1">
      <alignment horizontal="left" vertical="center" indent="2"/>
    </xf>
    <xf numFmtId="0" fontId="20" fillId="3" borderId="9" xfId="2" applyFont="1" applyFill="1" applyBorder="1" applyAlignment="1">
      <alignment horizontal="center" vertical="center"/>
    </xf>
    <xf numFmtId="0" fontId="36" fillId="0" borderId="0" xfId="1" applyFont="1" applyFill="1" applyBorder="1" applyAlignment="1" applyProtection="1">
      <alignment horizontal="left" wrapText="1"/>
    </xf>
    <xf numFmtId="0" fontId="26" fillId="0" borderId="0" xfId="0" applyFont="1" applyFill="1" applyAlignment="1" applyProtection="1">
      <alignment horizontal="left"/>
    </xf>
    <xf numFmtId="0" fontId="17" fillId="0" borderId="0" xfId="2" applyFont="1" applyAlignment="1">
      <alignment vertical="center"/>
    </xf>
    <xf numFmtId="0" fontId="3" fillId="0" borderId="0" xfId="2" applyFont="1" applyAlignment="1" applyProtection="1">
      <alignment horizontal="left" wrapText="1"/>
      <protection locked="0"/>
    </xf>
    <xf numFmtId="3" fontId="3" fillId="0" borderId="2" xfId="4" applyNumberFormat="1" applyFont="1" applyFill="1" applyBorder="1" applyAlignment="1" applyProtection="1">
      <alignment horizontal="center" vertical="center"/>
    </xf>
    <xf numFmtId="3" fontId="8" fillId="0" borderId="2" xfId="4" applyNumberFormat="1" applyFont="1" applyFill="1" applyBorder="1" applyAlignment="1" applyProtection="1">
      <alignment horizontal="center" vertical="center"/>
    </xf>
    <xf numFmtId="3" fontId="8" fillId="0" borderId="0" xfId="4" applyNumberFormat="1" applyFont="1" applyFill="1" applyBorder="1" applyAlignment="1" applyProtection="1">
      <alignment horizontal="center" vertical="center"/>
    </xf>
    <xf numFmtId="0" fontId="0" fillId="0" borderId="0" xfId="0" applyFill="1"/>
    <xf numFmtId="0" fontId="4" fillId="0" borderId="0" xfId="1" applyFont="1" applyFill="1" applyBorder="1" applyAlignment="1" applyProtection="1">
      <alignment horizontal="left" vertical="center" indent="1"/>
    </xf>
    <xf numFmtId="0" fontId="4" fillId="0" borderId="11" xfId="4" applyFont="1" applyFill="1" applyBorder="1" applyAlignment="1" applyProtection="1">
      <alignment horizontal="left" indent="1"/>
    </xf>
    <xf numFmtId="0" fontId="56" fillId="0" borderId="12" xfId="4" applyFont="1" applyFill="1" applyBorder="1" applyAlignment="1" applyProtection="1">
      <alignment horizontal="center"/>
      <protection locked="0"/>
    </xf>
    <xf numFmtId="0" fontId="4" fillId="0" borderId="12" xfId="4" applyFont="1" applyFill="1" applyBorder="1" applyAlignment="1" applyProtection="1">
      <alignment horizontal="center"/>
      <protection locked="0"/>
    </xf>
    <xf numFmtId="166" fontId="4" fillId="0" borderId="12" xfId="4" applyNumberFormat="1" applyFont="1" applyFill="1" applyBorder="1" applyAlignment="1" applyProtection="1">
      <alignment horizontal="center"/>
      <protection locked="0"/>
    </xf>
    <xf numFmtId="0" fontId="57" fillId="0" borderId="0" xfId="4" applyFont="1" applyFill="1" applyBorder="1" applyAlignment="1" applyProtection="1">
      <alignment horizontal="left" wrapText="1"/>
    </xf>
    <xf numFmtId="0" fontId="57" fillId="0" borderId="0" xfId="4" applyFont="1" applyFill="1" applyBorder="1" applyAlignment="1" applyProtection="1">
      <alignment horizontal="center" wrapText="1"/>
    </xf>
    <xf numFmtId="0" fontId="8" fillId="0" borderId="0" xfId="4" applyFont="1" applyFill="1" applyBorder="1" applyAlignment="1" applyProtection="1">
      <alignment horizontal="center" wrapText="1"/>
    </xf>
    <xf numFmtId="0" fontId="3" fillId="0" borderId="0" xfId="4" applyFont="1" applyFill="1" applyBorder="1" applyAlignment="1" applyProtection="1">
      <alignment horizontal="left" vertical="center" wrapText="1" indent="1"/>
    </xf>
    <xf numFmtId="166" fontId="3" fillId="0" borderId="0" xfId="4" applyNumberFormat="1" applyFont="1" applyFill="1" applyBorder="1" applyAlignment="1" applyProtection="1">
      <alignment horizontal="center" vertical="center"/>
    </xf>
    <xf numFmtId="0" fontId="3" fillId="0" borderId="0" xfId="4" applyFont="1" applyFill="1" applyAlignment="1" applyProtection="1">
      <alignment horizontal="center" vertical="center"/>
    </xf>
    <xf numFmtId="0" fontId="10" fillId="0" borderId="0" xfId="6" applyFill="1"/>
    <xf numFmtId="0" fontId="3" fillId="0" borderId="0" xfId="2" applyFont="1" applyBorder="1" applyProtection="1">
      <protection locked="0"/>
    </xf>
    <xf numFmtId="0" fontId="53" fillId="0" borderId="0" xfId="3" applyFont="1" applyFill="1" applyBorder="1" applyAlignment="1" applyProtection="1">
      <alignment horizontal="left" vertical="center" wrapText="1" indent="1"/>
    </xf>
    <xf numFmtId="0" fontId="3" fillId="0" borderId="0" xfId="2" applyFont="1" applyBorder="1"/>
    <xf numFmtId="0" fontId="54" fillId="0" borderId="0" xfId="0" applyFont="1" applyBorder="1" applyAlignment="1">
      <alignment vertical="center"/>
    </xf>
    <xf numFmtId="0" fontId="8" fillId="0" borderId="0" xfId="0" applyFont="1" applyBorder="1" applyAlignment="1" applyProtection="1"/>
    <xf numFmtId="0" fontId="14" fillId="0" borderId="0" xfId="4" applyFont="1" applyAlignment="1" applyProtection="1">
      <alignment horizontal="left"/>
    </xf>
    <xf numFmtId="0" fontId="14" fillId="0" borderId="0" xfId="4" applyFont="1" applyAlignment="1" applyProtection="1">
      <alignment horizontal="center"/>
    </xf>
    <xf numFmtId="0" fontId="3" fillId="0" borderId="0" xfId="4" applyFont="1" applyFill="1" applyBorder="1" applyAlignment="1">
      <alignment vertical="top"/>
    </xf>
    <xf numFmtId="0" fontId="3" fillId="0" borderId="0" xfId="4" applyFont="1" applyFill="1" applyBorder="1" applyAlignment="1">
      <alignment vertical="top" wrapText="1"/>
    </xf>
    <xf numFmtId="0" fontId="3" fillId="0" borderId="0" xfId="4" applyFont="1" applyAlignment="1" applyProtection="1">
      <alignment vertical="center"/>
    </xf>
    <xf numFmtId="0" fontId="3" fillId="0" borderId="0" xfId="4" applyFont="1" applyFill="1" applyAlignment="1" applyProtection="1">
      <alignment vertical="center"/>
    </xf>
    <xf numFmtId="0" fontId="24" fillId="0" borderId="0" xfId="0" applyFont="1" applyFill="1" applyBorder="1" applyAlignment="1" applyProtection="1">
      <alignment horizontal="left"/>
    </xf>
    <xf numFmtId="0" fontId="3" fillId="0" borderId="0" xfId="4" applyFont="1" applyFill="1" applyBorder="1" applyAlignment="1">
      <alignment horizontal="left" vertical="top" wrapText="1"/>
    </xf>
    <xf numFmtId="0" fontId="10" fillId="0" borderId="0" xfId="6" applyFill="1" applyBorder="1" applyAlignment="1">
      <alignment horizontal="left" vertical="top"/>
    </xf>
    <xf numFmtId="0" fontId="20" fillId="0" borderId="2" xfId="2" quotePrefix="1" applyFont="1" applyFill="1" applyBorder="1" applyAlignment="1" applyProtection="1">
      <alignment horizontal="left" vertical="center" wrapText="1"/>
    </xf>
    <xf numFmtId="0" fontId="19" fillId="0" borderId="0" xfId="2" applyFont="1" applyBorder="1"/>
    <xf numFmtId="0" fontId="19" fillId="0" borderId="0" xfId="2" applyFont="1" applyBorder="1" applyAlignment="1" applyProtection="1">
      <alignment vertical="top"/>
      <protection locked="0"/>
    </xf>
    <xf numFmtId="169" fontId="19" fillId="0" borderId="0" xfId="2" quotePrefix="1" applyNumberFormat="1" applyFont="1" applyBorder="1" applyAlignment="1" applyProtection="1">
      <alignment horizontal="center" vertical="top" wrapText="1"/>
      <protection locked="0"/>
    </xf>
    <xf numFmtId="0" fontId="3" fillId="0" borderId="20" xfId="1" applyFont="1" applyBorder="1" applyProtection="1"/>
    <xf numFmtId="0" fontId="19" fillId="0" borderId="25" xfId="2" applyFont="1" applyBorder="1" applyProtection="1">
      <protection locked="0"/>
    </xf>
    <xf numFmtId="0" fontId="19" fillId="0" borderId="19" xfId="2" applyFont="1" applyBorder="1"/>
    <xf numFmtId="0" fontId="19" fillId="0" borderId="19" xfId="2" applyFont="1" applyBorder="1" applyProtection="1"/>
    <xf numFmtId="0" fontId="19" fillId="0" borderId="26" xfId="2" applyFont="1" applyBorder="1"/>
    <xf numFmtId="0" fontId="19" fillId="0" borderId="27" xfId="1" applyFont="1" applyFill="1" applyBorder="1" applyAlignment="1" applyProtection="1">
      <alignment horizontal="left" vertical="center" indent="3"/>
    </xf>
    <xf numFmtId="0" fontId="19" fillId="0" borderId="28" xfId="2" applyFont="1" applyBorder="1"/>
    <xf numFmtId="0" fontId="19" fillId="0" borderId="27" xfId="3" applyFont="1" applyFill="1" applyBorder="1" applyAlignment="1" applyProtection="1">
      <alignment horizontal="left" vertical="center" indent="3"/>
    </xf>
    <xf numFmtId="0" fontId="21" fillId="0" borderId="0" xfId="4" applyFont="1" applyFill="1" applyBorder="1" applyAlignment="1" applyProtection="1">
      <alignment horizontal="left" vertical="center"/>
    </xf>
    <xf numFmtId="0" fontId="17" fillId="0" borderId="0" xfId="1" applyFont="1" applyFill="1" applyBorder="1" applyAlignment="1" applyProtection="1">
      <alignment horizontal="left"/>
    </xf>
    <xf numFmtId="0" fontId="20" fillId="0" borderId="0" xfId="1" applyFont="1" applyFill="1" applyBorder="1" applyAlignment="1" applyProtection="1">
      <alignment horizontal="left"/>
    </xf>
    <xf numFmtId="0" fontId="41" fillId="0" borderId="0" xfId="6" applyFont="1" applyAlignment="1" applyProtection="1">
      <alignment horizontal="left"/>
    </xf>
    <xf numFmtId="0" fontId="21" fillId="0" borderId="0" xfId="2" applyFont="1"/>
    <xf numFmtId="0" fontId="4" fillId="0" borderId="10" xfId="4" applyFont="1" applyBorder="1" applyAlignment="1" applyProtection="1">
      <alignment horizontal="center"/>
    </xf>
    <xf numFmtId="0" fontId="20" fillId="3" borderId="6" xfId="4" applyFont="1" applyFill="1" applyBorder="1" applyAlignment="1">
      <alignment vertical="center"/>
    </xf>
    <xf numFmtId="0" fontId="43" fillId="3" borderId="14" xfId="4" applyFont="1" applyFill="1" applyBorder="1" applyAlignment="1" applyProtection="1">
      <alignment horizontal="left" vertical="center"/>
      <protection locked="0"/>
    </xf>
    <xf numFmtId="0" fontId="43" fillId="3" borderId="0" xfId="4" applyFont="1" applyFill="1" applyBorder="1" applyAlignment="1" applyProtection="1">
      <alignment horizontal="left" vertical="center"/>
      <protection locked="0"/>
    </xf>
    <xf numFmtId="37" fontId="3" fillId="2" borderId="9" xfId="5" applyNumberFormat="1" applyFont="1" applyFill="1" applyBorder="1" applyAlignment="1" applyProtection="1">
      <alignment horizontal="center" vertical="center"/>
      <protection locked="0"/>
    </xf>
    <xf numFmtId="170" fontId="3" fillId="2" borderId="9" xfId="5" applyNumberFormat="1" applyFont="1" applyFill="1" applyBorder="1" applyAlignment="1" applyProtection="1">
      <alignment horizontal="center" vertical="center"/>
      <protection locked="0"/>
    </xf>
    <xf numFmtId="3" fontId="3" fillId="0" borderId="9" xfId="4" applyNumberFormat="1" applyFont="1" applyFill="1" applyBorder="1" applyAlignment="1" applyProtection="1">
      <alignment horizontal="center" vertical="center"/>
    </xf>
    <xf numFmtId="3" fontId="8" fillId="0" borderId="9" xfId="4" applyNumberFormat="1" applyFont="1" applyFill="1" applyBorder="1" applyAlignment="1" applyProtection="1">
      <alignment horizontal="center"/>
    </xf>
    <xf numFmtId="0" fontId="20" fillId="0" borderId="2" xfId="2" applyFont="1" applyFill="1" applyBorder="1" applyAlignment="1" applyProtection="1">
      <alignment horizontal="center" vertical="center" wrapText="1"/>
    </xf>
    <xf numFmtId="0" fontId="8" fillId="3" borderId="9" xfId="0" applyFont="1" applyFill="1" applyBorder="1" applyAlignment="1" applyProtection="1">
      <alignment horizontal="center"/>
    </xf>
    <xf numFmtId="0" fontId="3" fillId="3" borderId="9" xfId="4" applyFont="1" applyFill="1" applyBorder="1" applyAlignment="1" applyProtection="1">
      <alignment horizontal="center"/>
    </xf>
    <xf numFmtId="37" fontId="3" fillId="3" borderId="2" xfId="5" applyNumberFormat="1" applyFont="1" applyFill="1" applyBorder="1" applyAlignment="1" applyProtection="1">
      <alignment horizontal="center" vertical="center"/>
    </xf>
    <xf numFmtId="164" fontId="3" fillId="3" borderId="2" xfId="5" applyNumberFormat="1" applyFont="1" applyFill="1" applyBorder="1" applyAlignment="1" applyProtection="1">
      <alignment horizontal="center" vertical="center"/>
    </xf>
    <xf numFmtId="164" fontId="3" fillId="3" borderId="9" xfId="5" applyNumberFormat="1" applyFont="1" applyFill="1" applyBorder="1" applyAlignment="1" applyProtection="1">
      <alignment horizontal="center" vertical="center"/>
    </xf>
    <xf numFmtId="0" fontId="3" fillId="3" borderId="11" xfId="4" applyFont="1" applyFill="1" applyBorder="1" applyAlignment="1" applyProtection="1">
      <alignment vertical="center" wrapText="1"/>
    </xf>
    <xf numFmtId="0" fontId="3" fillId="3" borderId="10" xfId="4" applyFont="1" applyFill="1" applyBorder="1" applyAlignment="1" applyProtection="1">
      <alignment vertical="center" wrapText="1"/>
    </xf>
    <xf numFmtId="0" fontId="3" fillId="3" borderId="11" xfId="4" applyFont="1" applyFill="1" applyBorder="1" applyAlignment="1" applyProtection="1">
      <alignment vertical="center"/>
    </xf>
    <xf numFmtId="5" fontId="3" fillId="3" borderId="2" xfId="5" applyNumberFormat="1" applyFont="1" applyFill="1" applyBorder="1" applyAlignment="1" applyProtection="1">
      <alignment horizontal="center" vertical="center"/>
    </xf>
    <xf numFmtId="0" fontId="8" fillId="3" borderId="0" xfId="0" applyFont="1" applyFill="1" applyBorder="1" applyAlignment="1" applyProtection="1">
      <alignment horizontal="left"/>
    </xf>
    <xf numFmtId="0" fontId="3" fillId="3" borderId="0" xfId="0" applyFont="1" applyFill="1" applyBorder="1" applyAlignment="1" applyProtection="1">
      <alignment horizontal="left"/>
    </xf>
    <xf numFmtId="0" fontId="46" fillId="0" borderId="0" xfId="0" applyFont="1" applyAlignment="1">
      <alignment horizontal="left" vertical="center" wrapText="1"/>
    </xf>
    <xf numFmtId="0" fontId="3" fillId="0" borderId="0" xfId="1" applyFont="1" applyFill="1" applyBorder="1" applyAlignment="1" applyProtection="1">
      <alignment vertical="center"/>
    </xf>
    <xf numFmtId="0" fontId="3" fillId="0" borderId="0" xfId="1" applyFont="1" applyAlignment="1" applyProtection="1">
      <alignment vertical="center"/>
    </xf>
    <xf numFmtId="0" fontId="3" fillId="0" borderId="0" xfId="1" applyFont="1" applyBorder="1" applyAlignment="1" applyProtection="1">
      <alignment vertical="center"/>
    </xf>
    <xf numFmtId="0" fontId="0" fillId="10" borderId="0" xfId="0" applyFill="1" applyBorder="1" applyAlignment="1">
      <alignment vertical="center"/>
    </xf>
    <xf numFmtId="0" fontId="8" fillId="10" borderId="14" xfId="1" applyFont="1" applyFill="1" applyBorder="1" applyAlignment="1" applyProtection="1">
      <alignment horizontal="center" vertical="center"/>
    </xf>
    <xf numFmtId="0" fontId="13" fillId="0" borderId="0" xfId="1" applyFont="1" applyFill="1" applyBorder="1" applyAlignment="1" applyProtection="1">
      <alignment vertical="center"/>
    </xf>
    <xf numFmtId="0" fontId="13" fillId="0" borderId="0" xfId="1" applyFont="1" applyAlignment="1" applyProtection="1">
      <alignment vertical="center"/>
    </xf>
    <xf numFmtId="0" fontId="3" fillId="10" borderId="14" xfId="1" applyFont="1" applyFill="1" applyBorder="1" applyAlignment="1" applyProtection="1">
      <alignment vertical="center"/>
    </xf>
    <xf numFmtId="165" fontId="3" fillId="2" borderId="9" xfId="16" applyNumberFormat="1" applyFont="1" applyFill="1" applyBorder="1" applyAlignment="1" applyProtection="1">
      <alignment horizontal="center" vertical="center"/>
      <protection locked="0"/>
    </xf>
    <xf numFmtId="0" fontId="0" fillId="10" borderId="14" xfId="0" applyFill="1" applyBorder="1" applyAlignment="1">
      <alignment vertical="center"/>
    </xf>
    <xf numFmtId="0" fontId="0" fillId="10" borderId="15" xfId="0" applyFill="1" applyBorder="1" applyAlignment="1">
      <alignment vertical="center"/>
    </xf>
    <xf numFmtId="0" fontId="60" fillId="0" borderId="0" xfId="2" applyFont="1" applyAlignment="1" applyProtection="1">
      <alignment vertical="center"/>
    </xf>
    <xf numFmtId="0" fontId="41" fillId="0" borderId="0" xfId="6" quotePrefix="1" applyFont="1" applyFill="1" applyBorder="1" applyAlignment="1" applyProtection="1">
      <alignment vertical="center"/>
    </xf>
    <xf numFmtId="0" fontId="4" fillId="0" borderId="0" xfId="1" applyFont="1" applyFill="1" applyBorder="1" applyAlignment="1" applyProtection="1">
      <alignment vertical="center" wrapText="1"/>
    </xf>
    <xf numFmtId="164" fontId="3" fillId="2" borderId="7" xfId="5" applyNumberFormat="1" applyFont="1" applyFill="1" applyBorder="1" applyAlignment="1" applyProtection="1">
      <alignment horizontal="center" vertical="center"/>
      <protection locked="0"/>
    </xf>
    <xf numFmtId="0" fontId="43" fillId="3" borderId="10" xfId="4" applyFont="1" applyFill="1" applyBorder="1" applyAlignment="1" applyProtection="1">
      <alignment horizontal="center" vertical="center"/>
      <protection locked="0"/>
    </xf>
    <xf numFmtId="0" fontId="17" fillId="3" borderId="14" xfId="4" applyFont="1" applyFill="1" applyBorder="1" applyAlignment="1" applyProtection="1">
      <alignment horizontal="center" vertical="center"/>
      <protection locked="0"/>
    </xf>
    <xf numFmtId="0" fontId="17" fillId="3" borderId="15" xfId="4" applyFont="1" applyFill="1" applyBorder="1" applyAlignment="1" applyProtection="1">
      <alignment horizontal="center" vertical="center"/>
      <protection locked="0"/>
    </xf>
    <xf numFmtId="0" fontId="43" fillId="3" borderId="9" xfId="4" applyFont="1" applyFill="1" applyBorder="1" applyAlignment="1" applyProtection="1">
      <alignment horizontal="center" vertical="center"/>
      <protection locked="0"/>
    </xf>
    <xf numFmtId="0" fontId="43" fillId="3" borderId="12" xfId="4" applyFont="1" applyFill="1" applyBorder="1" applyAlignment="1" applyProtection="1">
      <alignment horizontal="center" vertical="center"/>
      <protection locked="0"/>
    </xf>
    <xf numFmtId="0" fontId="19" fillId="0" borderId="27" xfId="3" applyFont="1" applyFill="1" applyBorder="1" applyAlignment="1" applyProtection="1">
      <alignment horizontal="left" vertical="center" wrapText="1" indent="3"/>
    </xf>
    <xf numFmtId="0" fontId="19" fillId="0" borderId="0" xfId="3" applyFont="1" applyFill="1" applyBorder="1" applyAlignment="1" applyProtection="1">
      <alignment horizontal="left" vertical="center" wrapText="1" indent="3"/>
    </xf>
    <xf numFmtId="0" fontId="19" fillId="0" borderId="28" xfId="3" applyFont="1" applyFill="1" applyBorder="1" applyAlignment="1" applyProtection="1">
      <alignment horizontal="left" vertical="center" wrapText="1" indent="3"/>
    </xf>
    <xf numFmtId="2" fontId="19" fillId="0" borderId="27" xfId="3" applyNumberFormat="1" applyFont="1" applyFill="1" applyBorder="1" applyAlignment="1" applyProtection="1">
      <alignment horizontal="left" vertical="center" wrapText="1" indent="3"/>
    </xf>
    <xf numFmtId="2" fontId="19" fillId="0" borderId="0" xfId="3" applyNumberFormat="1" applyFont="1" applyFill="1" applyBorder="1" applyAlignment="1" applyProtection="1">
      <alignment horizontal="left" vertical="center" wrapText="1" indent="3"/>
    </xf>
    <xf numFmtId="2" fontId="19" fillId="0" borderId="28" xfId="3" applyNumberFormat="1" applyFont="1" applyFill="1" applyBorder="1" applyAlignment="1" applyProtection="1">
      <alignment horizontal="left" vertical="center" wrapText="1" indent="3"/>
    </xf>
    <xf numFmtId="2" fontId="19" fillId="0" borderId="29" xfId="3" applyNumberFormat="1" applyFont="1" applyFill="1" applyBorder="1" applyAlignment="1" applyProtection="1">
      <alignment horizontal="left" vertical="center" wrapText="1" indent="3"/>
    </xf>
    <xf numFmtId="2" fontId="19" fillId="0" borderId="30" xfId="3" applyNumberFormat="1" applyFont="1" applyFill="1" applyBorder="1" applyAlignment="1" applyProtection="1">
      <alignment horizontal="left" vertical="center" wrapText="1" indent="3"/>
    </xf>
    <xf numFmtId="2" fontId="19" fillId="0" borderId="31" xfId="3" applyNumberFormat="1" applyFont="1" applyFill="1" applyBorder="1" applyAlignment="1" applyProtection="1">
      <alignment horizontal="left" vertical="center" wrapText="1" indent="3"/>
    </xf>
    <xf numFmtId="0" fontId="19" fillId="0" borderId="27" xfId="1" applyFont="1" applyFill="1" applyBorder="1" applyAlignment="1" applyProtection="1">
      <alignment horizontal="left" vertical="center" wrapText="1" indent="3"/>
    </xf>
    <xf numFmtId="0" fontId="19" fillId="0" borderId="0" xfId="1" applyFont="1" applyFill="1" applyBorder="1" applyAlignment="1" applyProtection="1">
      <alignment horizontal="left" vertical="center" wrapText="1" indent="3"/>
    </xf>
    <xf numFmtId="0" fontId="19" fillId="0" borderId="28" xfId="1" applyFont="1" applyFill="1" applyBorder="1" applyAlignment="1" applyProtection="1">
      <alignment horizontal="left" vertical="center" wrapText="1" indent="3"/>
    </xf>
    <xf numFmtId="0" fontId="3" fillId="0" borderId="0" xfId="2" applyFont="1" applyAlignment="1" applyProtection="1">
      <alignment horizontal="left" vertical="center" wrapText="1"/>
      <protection locked="0"/>
    </xf>
    <xf numFmtId="0" fontId="59" fillId="0" borderId="0" xfId="1" applyFont="1" applyFill="1" applyBorder="1" applyAlignment="1" applyProtection="1">
      <alignment horizontal="left" vertical="center"/>
    </xf>
    <xf numFmtId="0" fontId="4" fillId="0" borderId="6" xfId="1" applyFont="1" applyFill="1" applyBorder="1" applyAlignment="1" applyProtection="1">
      <alignment horizontal="left" vertical="center" wrapText="1"/>
    </xf>
    <xf numFmtId="0" fontId="4" fillId="0" borderId="0" xfId="1" applyFont="1" applyFill="1" applyBorder="1" applyAlignment="1" applyProtection="1">
      <alignment horizontal="left" vertical="center" wrapText="1"/>
    </xf>
    <xf numFmtId="0" fontId="8" fillId="11" borderId="6" xfId="1" applyFont="1" applyFill="1" applyBorder="1" applyAlignment="1" applyProtection="1">
      <alignment horizontal="left" vertical="center" wrapText="1"/>
    </xf>
    <xf numFmtId="0" fontId="8" fillId="11" borderId="0" xfId="1" applyFont="1" applyFill="1" applyBorder="1" applyAlignment="1" applyProtection="1">
      <alignment horizontal="left" vertical="center" wrapText="1"/>
    </xf>
    <xf numFmtId="0" fontId="21" fillId="11" borderId="17" xfId="1" applyFont="1" applyFill="1" applyBorder="1" applyAlignment="1" applyProtection="1">
      <alignment horizontal="center" vertical="center" wrapText="1"/>
    </xf>
    <xf numFmtId="0" fontId="46" fillId="11" borderId="16" xfId="0" applyFont="1" applyFill="1" applyBorder="1" applyAlignment="1">
      <alignment horizontal="center" vertical="center" wrapText="1"/>
    </xf>
    <xf numFmtId="0" fontId="46" fillId="11" borderId="18" xfId="0" applyFont="1" applyFill="1" applyBorder="1" applyAlignment="1">
      <alignment horizontal="center" vertical="center" wrapText="1"/>
    </xf>
    <xf numFmtId="0" fontId="21" fillId="10" borderId="17" xfId="1" applyFont="1" applyFill="1" applyBorder="1" applyAlignment="1" applyProtection="1">
      <alignment horizontal="center" vertical="center" wrapText="1"/>
    </xf>
    <xf numFmtId="0" fontId="46" fillId="10" borderId="16" xfId="0" applyFont="1" applyFill="1" applyBorder="1" applyAlignment="1">
      <alignment horizontal="center" vertical="center" wrapText="1"/>
    </xf>
    <xf numFmtId="0" fontId="46" fillId="10" borderId="18" xfId="0" applyFont="1" applyFill="1" applyBorder="1" applyAlignment="1">
      <alignment horizontal="center" vertical="center" wrapText="1"/>
    </xf>
    <xf numFmtId="0" fontId="55" fillId="0" borderId="0" xfId="0" applyFont="1" applyFill="1" applyAlignment="1">
      <alignment horizontal="left" vertical="center" indent="1"/>
    </xf>
    <xf numFmtId="0" fontId="58" fillId="12" borderId="21" xfId="6" applyFont="1" applyFill="1" applyBorder="1" applyAlignment="1" applyProtection="1">
      <alignment horizontal="center" vertical="center"/>
    </xf>
    <xf numFmtId="0" fontId="58" fillId="12" borderId="22" xfId="6" applyFont="1" applyFill="1" applyBorder="1" applyAlignment="1" applyProtection="1">
      <alignment horizontal="center" vertical="center"/>
    </xf>
    <xf numFmtId="0" fontId="58" fillId="12" borderId="23" xfId="6" applyFont="1" applyFill="1" applyBorder="1" applyAlignment="1" applyProtection="1">
      <alignment horizontal="center" vertical="center"/>
    </xf>
    <xf numFmtId="0" fontId="58" fillId="12" borderId="24" xfId="6" applyFont="1" applyFill="1" applyBorder="1" applyAlignment="1" applyProtection="1">
      <alignment horizontal="center" vertical="center"/>
    </xf>
    <xf numFmtId="0" fontId="4" fillId="9" borderId="16" xfId="1" applyFont="1" applyFill="1" applyBorder="1" applyAlignment="1" applyProtection="1">
      <alignment horizontal="left" vertical="center" wrapText="1"/>
    </xf>
    <xf numFmtId="0" fontId="4" fillId="9" borderId="0" xfId="1" applyFont="1" applyFill="1" applyBorder="1" applyAlignment="1" applyProtection="1">
      <alignment horizontal="left" vertical="center" wrapText="1"/>
    </xf>
    <xf numFmtId="0" fontId="8" fillId="11" borderId="14" xfId="1" applyFont="1" applyFill="1" applyBorder="1" applyAlignment="1" applyProtection="1">
      <alignment horizontal="left" vertical="center" wrapText="1"/>
    </xf>
    <xf numFmtId="0" fontId="20" fillId="0" borderId="2" xfId="2" applyFont="1" applyFill="1" applyBorder="1" applyAlignment="1" applyProtection="1">
      <alignment horizontal="center" vertical="center" wrapText="1"/>
    </xf>
    <xf numFmtId="0" fontId="51" fillId="0" borderId="0" xfId="0" applyFont="1" applyFill="1" applyBorder="1" applyAlignment="1" applyProtection="1">
      <alignment horizontal="center" wrapText="1"/>
    </xf>
    <xf numFmtId="0" fontId="52" fillId="0" borderId="0" xfId="0" applyFont="1" applyFill="1" applyAlignment="1">
      <alignment wrapText="1"/>
    </xf>
    <xf numFmtId="0" fontId="21" fillId="0" borderId="3" xfId="2" applyFont="1" applyFill="1" applyBorder="1" applyAlignment="1" applyProtection="1">
      <alignment vertical="center"/>
    </xf>
    <xf numFmtId="0" fontId="1" fillId="0" borderId="4" xfId="0" applyFont="1" applyBorder="1" applyAlignment="1">
      <alignment vertical="center"/>
    </xf>
    <xf numFmtId="0" fontId="1" fillId="0" borderId="5" xfId="0" applyFont="1" applyBorder="1" applyAlignment="1">
      <alignment vertical="center"/>
    </xf>
    <xf numFmtId="0" fontId="20" fillId="0" borderId="2" xfId="2" applyFont="1" applyFill="1" applyBorder="1" applyAlignment="1" applyProtection="1">
      <alignment horizontal="center" vertical="center"/>
    </xf>
    <xf numFmtId="0" fontId="21" fillId="0" borderId="2" xfId="2" applyFont="1" applyFill="1" applyBorder="1" applyAlignment="1" applyProtection="1">
      <alignment horizontal="left" vertical="center"/>
    </xf>
    <xf numFmtId="0" fontId="19" fillId="0" borderId="2" xfId="2" applyFont="1" applyFill="1" applyBorder="1" applyAlignment="1" applyProtection="1">
      <alignment horizontal="left" vertical="center"/>
    </xf>
    <xf numFmtId="0" fontId="19" fillId="0" borderId="2" xfId="2" applyFont="1" applyFill="1" applyBorder="1" applyAlignment="1">
      <alignment horizontal="left" vertical="center"/>
    </xf>
    <xf numFmtId="0" fontId="3" fillId="0" borderId="0" xfId="2" applyFont="1" applyFill="1" applyBorder="1" applyAlignment="1" applyProtection="1">
      <alignment horizontal="left" vertical="top" wrapText="1"/>
    </xf>
    <xf numFmtId="0" fontId="3" fillId="0" borderId="0" xfId="4" applyFont="1" applyFill="1" applyBorder="1" applyAlignment="1">
      <alignment horizontal="left" vertical="top" wrapText="1"/>
    </xf>
    <xf numFmtId="0" fontId="20" fillId="3" borderId="11" xfId="2" applyFont="1" applyFill="1" applyBorder="1" applyAlignment="1">
      <alignment horizontal="center" vertical="center"/>
    </xf>
    <xf numFmtId="0" fontId="20" fillId="3" borderId="12" xfId="2" applyFont="1" applyFill="1" applyBorder="1" applyAlignment="1">
      <alignment horizontal="center" vertical="center"/>
    </xf>
    <xf numFmtId="0" fontId="20" fillId="3" borderId="10" xfId="2" applyFont="1" applyFill="1" applyBorder="1" applyAlignment="1">
      <alignment horizontal="center" vertical="center"/>
    </xf>
    <xf numFmtId="0" fontId="17" fillId="0" borderId="11" xfId="4" applyFont="1" applyFill="1" applyBorder="1" applyAlignment="1">
      <alignment vertical="center" wrapText="1"/>
    </xf>
    <xf numFmtId="0" fontId="17" fillId="0" borderId="10" xfId="4" applyFont="1" applyFill="1" applyBorder="1" applyAlignment="1">
      <alignment vertical="center" wrapText="1"/>
    </xf>
    <xf numFmtId="0" fontId="17" fillId="0" borderId="11" xfId="4" applyFont="1" applyFill="1" applyBorder="1" applyAlignment="1">
      <alignment horizontal="left" vertical="center" wrapText="1"/>
    </xf>
    <xf numFmtId="0" fontId="17" fillId="0" borderId="10" xfId="4" applyFont="1" applyFill="1" applyBorder="1" applyAlignment="1">
      <alignment horizontal="left" vertical="center" wrapText="1"/>
    </xf>
    <xf numFmtId="0" fontId="17" fillId="0" borderId="11" xfId="4" applyFont="1" applyFill="1" applyBorder="1" applyAlignment="1">
      <alignment horizontal="left" vertical="center"/>
    </xf>
    <xf numFmtId="0" fontId="17" fillId="0" borderId="10" xfId="4" applyFont="1" applyFill="1" applyBorder="1" applyAlignment="1">
      <alignment horizontal="left" vertical="center"/>
    </xf>
    <xf numFmtId="0" fontId="27" fillId="3" borderId="7" xfId="2" applyFont="1" applyFill="1" applyBorder="1" applyAlignment="1">
      <alignment vertical="center"/>
    </xf>
    <xf numFmtId="0" fontId="27" fillId="3" borderId="8" xfId="2" applyFont="1" applyFill="1" applyBorder="1" applyAlignment="1">
      <alignment vertical="center"/>
    </xf>
    <xf numFmtId="0" fontId="3" fillId="3" borderId="9" xfId="4" applyFont="1" applyFill="1" applyBorder="1" applyAlignment="1" applyProtection="1">
      <alignment vertical="center" wrapText="1"/>
    </xf>
    <xf numFmtId="0" fontId="3" fillId="3" borderId="3" xfId="4" applyFont="1" applyFill="1" applyBorder="1" applyAlignment="1" applyProtection="1">
      <alignment vertical="center" wrapText="1"/>
    </xf>
    <xf numFmtId="0" fontId="3" fillId="3" borderId="5" xfId="4" applyFont="1" applyFill="1" applyBorder="1" applyAlignment="1" applyProtection="1">
      <alignment vertical="center" wrapText="1"/>
    </xf>
    <xf numFmtId="0" fontId="43" fillId="3" borderId="7" xfId="4" applyFont="1" applyFill="1" applyBorder="1" applyAlignment="1">
      <alignment vertical="center"/>
    </xf>
    <xf numFmtId="0" fontId="43" fillId="3" borderId="8" xfId="4" applyFont="1" applyFill="1" applyBorder="1" applyAlignment="1">
      <alignment vertical="center"/>
    </xf>
    <xf numFmtId="0" fontId="17" fillId="0" borderId="3" xfId="4" applyFont="1" applyFill="1" applyBorder="1" applyAlignment="1" applyProtection="1">
      <alignment vertical="center" wrapText="1"/>
    </xf>
    <xf numFmtId="0" fontId="17" fillId="0" borderId="5" xfId="4" applyFont="1" applyBorder="1" applyAlignment="1" applyProtection="1">
      <alignment vertical="center" wrapText="1"/>
    </xf>
    <xf numFmtId="0" fontId="17" fillId="0" borderId="9" xfId="4" applyFont="1" applyFill="1" applyBorder="1" applyAlignment="1" applyProtection="1">
      <alignment vertical="center" wrapText="1"/>
    </xf>
    <xf numFmtId="0" fontId="17" fillId="0" borderId="9" xfId="4" applyFont="1" applyBorder="1" applyAlignment="1" applyProtection="1">
      <alignment vertical="center" wrapText="1"/>
    </xf>
    <xf numFmtId="0" fontId="17" fillId="0" borderId="3" xfId="4" applyFont="1" applyFill="1" applyBorder="1" applyAlignment="1">
      <alignment vertical="center" wrapText="1"/>
    </xf>
    <xf numFmtId="0" fontId="17" fillId="0" borderId="5" xfId="4" applyFont="1" applyBorder="1" applyAlignment="1">
      <alignment vertical="center" wrapText="1"/>
    </xf>
    <xf numFmtId="0" fontId="27" fillId="0" borderId="6" xfId="4" applyFont="1" applyBorder="1" applyAlignment="1" applyProtection="1">
      <alignment horizontal="left" vertical="top" wrapText="1" indent="1"/>
    </xf>
    <xf numFmtId="0" fontId="27" fillId="0" borderId="0" xfId="4" applyFont="1" applyBorder="1" applyAlignment="1" applyProtection="1">
      <alignment horizontal="left" vertical="top" wrapText="1" indent="1"/>
    </xf>
    <xf numFmtId="0" fontId="17" fillId="0" borderId="2" xfId="4" applyFont="1" applyFill="1" applyBorder="1" applyAlignment="1">
      <alignment horizontal="left" vertical="center" wrapText="1"/>
    </xf>
    <xf numFmtId="0" fontId="42" fillId="0" borderId="0" xfId="0" applyFont="1" applyAlignment="1">
      <alignment horizontal="left" vertical="top" wrapText="1" indent="1"/>
    </xf>
    <xf numFmtId="0" fontId="42" fillId="0" borderId="6" xfId="0" applyFont="1" applyBorder="1" applyAlignment="1">
      <alignment horizontal="left" vertical="top" wrapText="1" indent="1"/>
    </xf>
    <xf numFmtId="0" fontId="17" fillId="0" borderId="3" xfId="4" applyFont="1" applyFill="1" applyBorder="1" applyAlignment="1">
      <alignment horizontal="left" vertical="center"/>
    </xf>
    <xf numFmtId="0" fontId="17" fillId="0" borderId="5" xfId="4" applyFont="1" applyFill="1" applyBorder="1" applyAlignment="1">
      <alignment horizontal="left" vertical="center"/>
    </xf>
    <xf numFmtId="0" fontId="17" fillId="8" borderId="3" xfId="4" applyFont="1" applyFill="1" applyBorder="1" applyAlignment="1">
      <alignment vertical="center" wrapText="1"/>
    </xf>
    <xf numFmtId="0" fontId="17" fillId="8" borderId="5" xfId="4" applyFont="1" applyFill="1" applyBorder="1" applyAlignment="1">
      <alignment vertical="center" wrapText="1"/>
    </xf>
    <xf numFmtId="0" fontId="17" fillId="0" borderId="7" xfId="4" applyFont="1" applyFill="1" applyBorder="1" applyAlignment="1">
      <alignment vertical="center" wrapText="1"/>
    </xf>
    <xf numFmtId="0" fontId="17" fillId="0" borderId="8" xfId="4" applyFont="1" applyBorder="1" applyAlignment="1">
      <alignment vertical="center" wrapText="1"/>
    </xf>
    <xf numFmtId="0" fontId="43" fillId="3" borderId="9" xfId="4" applyFont="1" applyFill="1" applyBorder="1" applyAlignment="1">
      <alignment vertical="center"/>
    </xf>
    <xf numFmtId="0" fontId="20" fillId="3" borderId="9" xfId="2" applyFont="1" applyFill="1" applyBorder="1" applyAlignment="1">
      <alignment horizontal="center" vertical="center"/>
    </xf>
    <xf numFmtId="0" fontId="0" fillId="0" borderId="9" xfId="0" applyBorder="1" applyAlignment="1">
      <alignment vertical="center"/>
    </xf>
    <xf numFmtId="0" fontId="27" fillId="3" borderId="9" xfId="2" applyFont="1" applyFill="1" applyBorder="1" applyAlignment="1">
      <alignment vertical="center"/>
    </xf>
  </cellXfs>
  <cellStyles count="17">
    <cellStyle name="Comma" xfId="16" builtinId="3"/>
    <cellStyle name="Comma 2" xfId="5" xr:uid="{00000000-0005-0000-0000-000000000000}"/>
    <cellStyle name="Currency" xfId="13" builtinId="4"/>
    <cellStyle name="Currency 2" xfId="9" xr:uid="{00000000-0005-0000-0000-000002000000}"/>
    <cellStyle name="Currency 2 2" xfId="15" xr:uid="{00000000-0005-0000-0000-000003000000}"/>
    <cellStyle name="Currency 3" xfId="14" xr:uid="{00000000-0005-0000-0000-000004000000}"/>
    <cellStyle name="Hyperlink" xfId="6" builtinId="8"/>
    <cellStyle name="Hyperlink 2" xfId="3" xr:uid="{00000000-0005-0000-0000-000006000000}"/>
    <cellStyle name="Neutral 2" xfId="10" xr:uid="{00000000-0005-0000-0000-000007000000}"/>
    <cellStyle name="Normal" xfId="0" builtinId="0"/>
    <cellStyle name="Normal 2" xfId="2" xr:uid="{00000000-0005-0000-0000-000009000000}"/>
    <cellStyle name="Normal 2 2" xfId="11" xr:uid="{00000000-0005-0000-0000-00000A000000}"/>
    <cellStyle name="Normal 2 3" xfId="12" xr:uid="{00000000-0005-0000-0000-00000B000000}"/>
    <cellStyle name="Normal 3" xfId="4" xr:uid="{00000000-0005-0000-0000-00000C000000}"/>
    <cellStyle name="Normal_Calc_Computer_product" xfId="8" xr:uid="{00000000-0005-0000-0000-00000D000000}"/>
    <cellStyle name="Normal_office equipment calculator - rough draft 110909" xfId="1" xr:uid="{00000000-0005-0000-0000-00000E000000}"/>
    <cellStyle name="Percent 2" xfId="7" xr:uid="{00000000-0005-0000-0000-00000F000000}"/>
  </cellStyles>
  <dxfs count="23">
    <dxf>
      <font>
        <color theme="0" tint="-0.14996795556505021"/>
      </font>
    </dxf>
    <dxf>
      <font>
        <color theme="0" tint="-0.14996795556505021"/>
      </font>
    </dxf>
    <dxf>
      <font>
        <color theme="0" tint="-0.14996795556505021"/>
      </font>
      <fill>
        <patternFill patternType="none">
          <bgColor auto="1"/>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34998626667073579"/>
      </font>
      <fill>
        <patternFill patternType="lightGray">
          <bgColor theme="0" tint="-4.9989318521683403E-2"/>
        </patternFill>
      </fill>
    </dxf>
    <dxf>
      <font>
        <color theme="0"/>
      </font>
    </dxf>
    <dxf>
      <font>
        <color theme="0"/>
      </font>
    </dxf>
    <dxf>
      <font>
        <color theme="0"/>
      </font>
      <fill>
        <patternFill patternType="none">
          <fgColor indexed="64"/>
          <bgColor auto="1"/>
        </patternFill>
      </fill>
      <border>
        <left/>
        <right/>
        <top/>
        <bottom/>
      </border>
    </dxf>
    <dxf>
      <font>
        <color theme="0"/>
      </font>
      <fill>
        <patternFill patternType="none">
          <fgColor indexed="64"/>
          <bgColor auto="1"/>
        </patternFill>
      </fill>
      <border>
        <left/>
        <right/>
        <top/>
        <bottom/>
      </border>
    </dxf>
    <dxf>
      <font>
        <color theme="0"/>
      </font>
      <fill>
        <patternFill patternType="none">
          <fgColor indexed="64"/>
          <bgColor auto="1"/>
        </patternFill>
      </fill>
      <border>
        <left/>
        <right/>
        <top/>
        <bottom/>
      </border>
    </dxf>
    <dxf>
      <font>
        <color theme="0" tint="-0.14996795556505021"/>
      </font>
      <fill>
        <patternFill patternType="lightGray">
          <fgColor theme="0" tint="-0.24994659260841701"/>
          <bgColor theme="0"/>
        </patternFill>
      </fill>
      <border>
        <left style="thin">
          <color theme="0" tint="-0.499984740745262"/>
        </left>
        <right style="thin">
          <color theme="0" tint="-0.499984740745262"/>
        </right>
        <top style="thin">
          <color theme="0" tint="-0.499984740745262"/>
        </top>
        <bottom style="thin">
          <color theme="0" tint="-0.499984740745262"/>
        </bottom>
      </border>
    </dxf>
    <dxf>
      <font>
        <color theme="0" tint="-0.14996795556505021"/>
      </font>
      <fill>
        <patternFill patternType="lightGray">
          <fgColor theme="0" tint="-0.24994659260841701"/>
          <bgColor theme="0"/>
        </patternFill>
      </fill>
      <border>
        <left style="thin">
          <color theme="0" tint="-0.499984740745262"/>
        </left>
        <right style="thin">
          <color theme="0" tint="-0.499984740745262"/>
        </right>
        <top style="thin">
          <color theme="0" tint="-0.499984740745262"/>
        </top>
        <bottom style="thin">
          <color theme="0" tint="-0.499984740745262"/>
        </bottom>
      </border>
    </dxf>
    <dxf>
      <font>
        <color theme="0" tint="-0.14996795556505021"/>
      </font>
      <fill>
        <patternFill patternType="lightGray">
          <fgColor theme="0" tint="-0.24994659260841701"/>
          <bgColor theme="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dxf>
    <dxf>
      <font>
        <color theme="0" tint="-0.14996795556505021"/>
      </font>
      <fill>
        <patternFill>
          <bgColor theme="0"/>
        </patternFill>
      </fill>
      <border>
        <left/>
        <right/>
        <top/>
      </border>
    </dxf>
  </dxfs>
  <tableStyles count="0" defaultTableStyle="TableStyleMedium2" defaultPivotStyle="PivotStyleLight16"/>
  <colors>
    <mruColors>
      <color rgb="FFFF3399"/>
      <color rgb="FFFF6699"/>
      <color rgb="FFFFCCFF"/>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2" dropStyle="combo" dx="16" fmlaLink="'Assumptions&amp;Calculations'!$C$22" fmlaRange="'Assumptions&amp;Calculations'!$B$24:$B$75" sel="1" val="0"/>
</file>

<file path=xl/ctrlProps/ctrlProp2.xml><?xml version="1.0" encoding="utf-8"?>
<formControlPr xmlns="http://schemas.microsoft.com/office/spreadsheetml/2009/9/main" objectType="Drop" dropStyle="combo" dx="16" fmlaLink="'Assumptions&amp;Calculations'!$C$122" fmlaRange="'Assumptions&amp;Calculations'!$C$117:$C$121" noThreeD="1" sel="1" val="0"/>
</file>

<file path=xl/ctrlProps/ctrlProp3.xml><?xml version="1.0" encoding="utf-8"?>
<formControlPr xmlns="http://schemas.microsoft.com/office/spreadsheetml/2009/9/main" objectType="Drop" dropLines="7" dropStyle="combo" dx="16" fmlaLink="'Assumptions&amp;Calculations'!$G$116" fmlaRange="'Assumptions&amp;Calculations'!$G$117:$G$122" noThreeD="1" sel="1" val="0"/>
</file>

<file path=xl/ctrlProps/ctrlProp4.xml><?xml version="1.0" encoding="utf-8"?>
<formControlPr xmlns="http://schemas.microsoft.com/office/spreadsheetml/2009/9/main" objectType="Drop" dropLines="4" dropStyle="combo" dx="16" fmlaLink="'Assumptions&amp;Calculations'!$I$116" fmlaRange="'Assumptions&amp;Calculations'!$H$117:$H$120" sel="1" val="0"/>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energystar.gov"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http://www.energystar.gov"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energystar.gov"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energystar.gov"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2806700</xdr:colOff>
      <xdr:row>0</xdr:row>
      <xdr:rowOff>88900</xdr:rowOff>
    </xdr:from>
    <xdr:to>
      <xdr:col>6</xdr:col>
      <xdr:colOff>55102</xdr:colOff>
      <xdr:row>2</xdr:row>
      <xdr:rowOff>123122</xdr:rowOff>
    </xdr:to>
    <xdr:pic>
      <xdr:nvPicPr>
        <xdr:cNvPr id="2" name="Picture 197">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97900" y="88900"/>
          <a:ext cx="2226802" cy="662872"/>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xdr:row>
          <xdr:rowOff>38100</xdr:rowOff>
        </xdr:from>
        <xdr:to>
          <xdr:col>4</xdr:col>
          <xdr:colOff>19050</xdr:colOff>
          <xdr:row>4</xdr:row>
          <xdr:rowOff>381000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52388</xdr:rowOff>
        </xdr:from>
        <xdr:to>
          <xdr:col>4</xdr:col>
          <xdr:colOff>0</xdr:colOff>
          <xdr:row>28</xdr:row>
          <xdr:rowOff>280988</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7</xdr:col>
          <xdr:colOff>1181100</xdr:colOff>
          <xdr:row>28</xdr:row>
          <xdr:rowOff>242888</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361950</xdr:rowOff>
        </xdr:from>
        <xdr:to>
          <xdr:col>2</xdr:col>
          <xdr:colOff>19050</xdr:colOff>
          <xdr:row>11</xdr:row>
          <xdr:rowOff>38100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5</xdr:col>
      <xdr:colOff>9360</xdr:colOff>
      <xdr:row>10</xdr:row>
      <xdr:rowOff>196657</xdr:rowOff>
    </xdr:from>
    <xdr:ext cx="1654693" cy="1387486"/>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8758" y="2830039"/>
          <a:ext cx="1654693" cy="1387486"/>
        </a:xfrm>
        <a:prstGeom prst="rect">
          <a:avLst/>
        </a:prstGeom>
      </xdr:spPr>
    </xdr:pic>
    <xdr:clientData/>
  </xdr:oneCellAnchor>
  <xdr:oneCellAnchor>
    <xdr:from>
      <xdr:col>8</xdr:col>
      <xdr:colOff>5144</xdr:colOff>
      <xdr:row>10</xdr:row>
      <xdr:rowOff>174245</xdr:rowOff>
    </xdr:from>
    <xdr:ext cx="1640149" cy="1389167"/>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99938" y="2964510"/>
          <a:ext cx="1640149" cy="1389167"/>
        </a:xfrm>
        <a:prstGeom prst="rect">
          <a:avLst/>
        </a:prstGeom>
      </xdr:spPr>
    </xdr:pic>
    <xdr:clientData/>
  </xdr:oneCellAnchor>
  <xdr:oneCellAnchor>
    <xdr:from>
      <xdr:col>2</xdr:col>
      <xdr:colOff>1732</xdr:colOff>
      <xdr:row>10</xdr:row>
      <xdr:rowOff>174245</xdr:rowOff>
    </xdr:from>
    <xdr:ext cx="1641878" cy="1389167"/>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72261" y="2796421"/>
          <a:ext cx="1641878" cy="1389167"/>
        </a:xfrm>
        <a:prstGeom prst="rect">
          <a:avLst/>
        </a:prstGeom>
      </xdr:spPr>
    </xdr:pic>
    <xdr:clientData/>
  </xdr:oneCellAnchor>
  <xdr:twoCellAnchor editAs="oneCell">
    <xdr:from>
      <xdr:col>6</xdr:col>
      <xdr:colOff>1422400</xdr:colOff>
      <xdr:row>0</xdr:row>
      <xdr:rowOff>88900</xdr:rowOff>
    </xdr:from>
    <xdr:to>
      <xdr:col>8</xdr:col>
      <xdr:colOff>537702</xdr:colOff>
      <xdr:row>2</xdr:row>
      <xdr:rowOff>123122</xdr:rowOff>
    </xdr:to>
    <xdr:pic>
      <xdr:nvPicPr>
        <xdr:cNvPr id="9" name="Picture 197">
          <a:hlinkClick xmlns:r="http://schemas.openxmlformats.org/officeDocument/2006/relationships" r:id="rId4"/>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8597900" y="88900"/>
          <a:ext cx="2226802" cy="662872"/>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520700</xdr:colOff>
      <xdr:row>0</xdr:row>
      <xdr:rowOff>88900</xdr:rowOff>
    </xdr:from>
    <xdr:to>
      <xdr:col>12</xdr:col>
      <xdr:colOff>385302</xdr:colOff>
      <xdr:row>2</xdr:row>
      <xdr:rowOff>123122</xdr:rowOff>
    </xdr:to>
    <xdr:pic>
      <xdr:nvPicPr>
        <xdr:cNvPr id="5" name="Picture 197">
          <a:hlinkClick xmlns:r="http://schemas.openxmlformats.org/officeDocument/2006/relationships" r:id="rId1"/>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97900" y="88900"/>
          <a:ext cx="2226802" cy="662872"/>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76200</xdr:colOff>
      <xdr:row>0</xdr:row>
      <xdr:rowOff>88900</xdr:rowOff>
    </xdr:from>
    <xdr:to>
      <xdr:col>8</xdr:col>
      <xdr:colOff>80502</xdr:colOff>
      <xdr:row>2</xdr:row>
      <xdr:rowOff>123122</xdr:rowOff>
    </xdr:to>
    <xdr:pic>
      <xdr:nvPicPr>
        <xdr:cNvPr id="2" name="Picture 197">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97900" y="88900"/>
          <a:ext cx="2226802" cy="662872"/>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ergystar.gov/" TargetMode="External"/><Relationship Id="rId1" Type="http://schemas.openxmlformats.org/officeDocument/2006/relationships/hyperlink" Target="https://www.energystar.gov/products/other/pool_pumps" TargetMode="External"/><Relationship Id="rId5" Type="http://schemas.openxmlformats.org/officeDocument/2006/relationships/drawing" Target="../drawings/drawing1.xm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customProperty" Target="../customProperty2.bin"/><Relationship Id="rId7" Type="http://schemas.openxmlformats.org/officeDocument/2006/relationships/ctrlProp" Target="../ctrlProps/ctrlProp2.xml"/><Relationship Id="rId2" Type="http://schemas.openxmlformats.org/officeDocument/2006/relationships/printerSettings" Target="../printerSettings/printerSettings2.bin"/><Relationship Id="rId1" Type="http://schemas.openxmlformats.org/officeDocument/2006/relationships/hyperlink" Target="https://www.energystar.gov/productfinder/"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2.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energystar.gov/sites/default/files/ENERGY%20STAR%20Final%20Version%202.0%20Pool%20Pumps%20Specification.pdf" TargetMode="External"/><Relationship Id="rId7" Type="http://schemas.openxmlformats.org/officeDocument/2006/relationships/drawing" Target="../drawings/drawing4.xml"/><Relationship Id="rId2" Type="http://schemas.openxmlformats.org/officeDocument/2006/relationships/hyperlink" Target="http://www.eia.gov/electricity/monthly/epm_table_grapher.cfm?t=epmt_5_06_b" TargetMode="External"/><Relationship Id="rId1" Type="http://schemas.openxmlformats.org/officeDocument/2006/relationships/hyperlink" Target="http://library.cee1.org/sites/default/files/library/9986/cee_res_swimmingpoolinitiative_07dec2012_pdf_10557.pdf"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library.cee1.org/system/files/library/9986/CEE_Res_SwimmingPoolInitiative_01Jan2013_Corrected.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http://library.cee1.org/sites/default/files/library/9986/cee_res_swimmingpoolinitiative_07dec2012_pdf_10557.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0" tint="-0.34998626667073579"/>
    <pageSetUpPr fitToPage="1"/>
  </sheetPr>
  <dimension ref="A1:G40"/>
  <sheetViews>
    <sheetView showGridLines="0" showRowColHeaders="0" tabSelected="1" zoomScaleNormal="100" workbookViewId="0"/>
  </sheetViews>
  <sheetFormatPr defaultColWidth="25.265625" defaultRowHeight="12.75" x14ac:dyDescent="0.35"/>
  <cols>
    <col min="1" max="1" width="5.73046875" style="42" customWidth="1"/>
    <col min="2" max="4" width="25.73046875" style="42" customWidth="1"/>
    <col min="5" max="5" width="47.59765625" style="42" bestFit="1" customWidth="1"/>
    <col min="6" max="6" width="23.59765625" style="42" customWidth="1"/>
    <col min="7" max="16384" width="25.265625" style="42"/>
  </cols>
  <sheetData>
    <row r="1" spans="1:6" ht="22.5" customHeight="1" x14ac:dyDescent="0.35"/>
    <row r="2" spans="1:6" ht="27" customHeight="1" x14ac:dyDescent="0.35">
      <c r="A2" s="43"/>
      <c r="B2" s="318" t="s">
        <v>246</v>
      </c>
      <c r="C2" s="11"/>
      <c r="D2" s="11"/>
      <c r="E2" s="43"/>
    </row>
    <row r="3" spans="1:6" x14ac:dyDescent="0.35">
      <c r="A3" s="43"/>
      <c r="B3" s="49"/>
      <c r="C3" s="43"/>
      <c r="D3" s="43"/>
      <c r="E3" s="43"/>
    </row>
    <row r="4" spans="1:6" ht="12.75" customHeight="1" x14ac:dyDescent="0.35">
      <c r="A4" s="43"/>
      <c r="B4" s="339" t="s">
        <v>247</v>
      </c>
      <c r="C4" s="339"/>
      <c r="D4" s="339"/>
      <c r="E4" s="339"/>
      <c r="F4" s="339"/>
    </row>
    <row r="5" spans="1:6" x14ac:dyDescent="0.35">
      <c r="A5" s="43"/>
      <c r="B5" s="339"/>
      <c r="C5" s="339"/>
      <c r="D5" s="339"/>
      <c r="E5" s="339"/>
      <c r="F5" s="339"/>
    </row>
    <row r="6" spans="1:6" x14ac:dyDescent="0.35">
      <c r="A6" s="43"/>
      <c r="B6" s="339"/>
      <c r="C6" s="339"/>
      <c r="D6" s="339"/>
      <c r="E6" s="339"/>
      <c r="F6" s="339"/>
    </row>
    <row r="7" spans="1:6" x14ac:dyDescent="0.35">
      <c r="A7" s="43"/>
      <c r="B7" s="339"/>
      <c r="C7" s="339"/>
      <c r="D7" s="339"/>
      <c r="E7" s="339"/>
      <c r="F7" s="339"/>
    </row>
    <row r="8" spans="1:6" x14ac:dyDescent="0.35">
      <c r="A8" s="43"/>
      <c r="B8" s="238"/>
      <c r="C8" s="238"/>
      <c r="D8" s="238"/>
      <c r="E8" s="238"/>
      <c r="F8" s="238"/>
    </row>
    <row r="9" spans="1:6" ht="14.25" thickBot="1" x14ac:dyDescent="0.45">
      <c r="A9" s="43"/>
      <c r="B9" s="285" t="s">
        <v>231</v>
      </c>
      <c r="C9" s="43"/>
      <c r="D9" s="43"/>
      <c r="E9" s="43"/>
    </row>
    <row r="10" spans="1:6" ht="13.5" x14ac:dyDescent="0.35">
      <c r="B10" s="274"/>
      <c r="C10" s="275"/>
      <c r="D10" s="276"/>
      <c r="E10" s="276"/>
      <c r="F10" s="277"/>
    </row>
    <row r="11" spans="1:6" ht="14.2" customHeight="1" x14ac:dyDescent="0.35">
      <c r="B11" s="336" t="s">
        <v>239</v>
      </c>
      <c r="C11" s="337"/>
      <c r="D11" s="337"/>
      <c r="E11" s="337"/>
      <c r="F11" s="338"/>
    </row>
    <row r="12" spans="1:6" ht="14.2" customHeight="1" x14ac:dyDescent="0.35">
      <c r="B12" s="336"/>
      <c r="C12" s="337"/>
      <c r="D12" s="337"/>
      <c r="E12" s="337"/>
      <c r="F12" s="338"/>
    </row>
    <row r="13" spans="1:6" ht="13.5" x14ac:dyDescent="0.35">
      <c r="B13" s="278"/>
      <c r="C13" s="270"/>
      <c r="D13" s="270"/>
      <c r="E13" s="270"/>
      <c r="F13" s="279"/>
    </row>
    <row r="14" spans="1:6" ht="15" customHeight="1" x14ac:dyDescent="0.35">
      <c r="B14" s="327" t="s">
        <v>238</v>
      </c>
      <c r="C14" s="328"/>
      <c r="D14" s="328"/>
      <c r="E14" s="328"/>
      <c r="F14" s="329"/>
    </row>
    <row r="15" spans="1:6" ht="15" customHeight="1" x14ac:dyDescent="0.35">
      <c r="B15" s="327"/>
      <c r="C15" s="328"/>
      <c r="D15" s="328"/>
      <c r="E15" s="328"/>
      <c r="F15" s="329"/>
    </row>
    <row r="16" spans="1:6" ht="13.5" x14ac:dyDescent="0.35">
      <c r="B16" s="280"/>
      <c r="C16" s="270"/>
      <c r="D16" s="270"/>
      <c r="E16" s="270"/>
      <c r="F16" s="279"/>
    </row>
    <row r="17" spans="1:7" ht="13.9" x14ac:dyDescent="0.35">
      <c r="B17" s="280" t="s">
        <v>218</v>
      </c>
      <c r="C17" s="270"/>
      <c r="D17" s="271"/>
      <c r="E17" s="272"/>
      <c r="F17" s="279"/>
    </row>
    <row r="18" spans="1:7" ht="14.2" customHeight="1" x14ac:dyDescent="0.35">
      <c r="B18" s="330" t="s">
        <v>240</v>
      </c>
      <c r="C18" s="331"/>
      <c r="D18" s="331"/>
      <c r="E18" s="331"/>
      <c r="F18" s="332"/>
    </row>
    <row r="19" spans="1:7" ht="14.2" customHeight="1" x14ac:dyDescent="0.35">
      <c r="B19" s="330"/>
      <c r="C19" s="331"/>
      <c r="D19" s="331"/>
      <c r="E19" s="331"/>
      <c r="F19" s="332"/>
    </row>
    <row r="20" spans="1:7" ht="14.2" customHeight="1" thickBot="1" x14ac:dyDescent="0.4">
      <c r="B20" s="333"/>
      <c r="C20" s="334"/>
      <c r="D20" s="334"/>
      <c r="E20" s="334"/>
      <c r="F20" s="335"/>
      <c r="G20" s="214"/>
    </row>
    <row r="21" spans="1:7" ht="15" x14ac:dyDescent="0.35">
      <c r="B21" s="215"/>
      <c r="D21" s="214"/>
      <c r="E21" s="214"/>
      <c r="F21" s="214"/>
      <c r="G21" s="214"/>
    </row>
    <row r="22" spans="1:7" x14ac:dyDescent="0.35">
      <c r="A22" s="43"/>
      <c r="B22" s="44" t="s">
        <v>228</v>
      </c>
      <c r="C22" s="44"/>
      <c r="D22" s="43"/>
      <c r="E22" s="43"/>
    </row>
    <row r="23" spans="1:7" ht="26.25" x14ac:dyDescent="0.35">
      <c r="A23" s="43"/>
      <c r="B23" s="58" t="s">
        <v>100</v>
      </c>
      <c r="C23" s="48" t="s">
        <v>99</v>
      </c>
      <c r="D23" s="48" t="s">
        <v>98</v>
      </c>
      <c r="E23" s="48" t="s">
        <v>97</v>
      </c>
    </row>
    <row r="24" spans="1:7" x14ac:dyDescent="0.35">
      <c r="A24" s="43"/>
      <c r="B24" s="47" t="s">
        <v>229</v>
      </c>
      <c r="C24" s="46" t="s">
        <v>197</v>
      </c>
      <c r="D24" s="45">
        <v>43467</v>
      </c>
      <c r="E24" s="230" t="s">
        <v>206</v>
      </c>
    </row>
    <row r="25" spans="1:7" x14ac:dyDescent="0.35">
      <c r="A25" s="43"/>
      <c r="B25" s="11"/>
      <c r="C25" s="44"/>
      <c r="D25" s="43"/>
      <c r="E25" s="43"/>
    </row>
    <row r="26" spans="1:7" x14ac:dyDescent="0.35">
      <c r="A26" s="43"/>
      <c r="B26" s="282" t="s">
        <v>253</v>
      </c>
      <c r="C26" s="235"/>
      <c r="D26" s="235"/>
      <c r="E26" s="235"/>
      <c r="F26" s="235"/>
    </row>
    <row r="27" spans="1:7" x14ac:dyDescent="0.35">
      <c r="A27" s="43"/>
      <c r="B27" s="282" t="s">
        <v>248</v>
      </c>
      <c r="C27" s="44"/>
      <c r="D27" s="43"/>
      <c r="E27" s="43"/>
    </row>
    <row r="28" spans="1:7" x14ac:dyDescent="0.35">
      <c r="A28" s="43"/>
      <c r="B28" s="283" t="s">
        <v>140</v>
      </c>
      <c r="C28" s="44"/>
      <c r="D28" s="43"/>
      <c r="E28" s="43"/>
    </row>
    <row r="29" spans="1:7" x14ac:dyDescent="0.35">
      <c r="A29" s="43"/>
      <c r="B29" s="284" t="s">
        <v>0</v>
      </c>
      <c r="C29" s="44"/>
      <c r="D29" s="43"/>
      <c r="E29" s="43"/>
    </row>
    <row r="30" spans="1:7" x14ac:dyDescent="0.35">
      <c r="A30" s="43"/>
    </row>
    <row r="31" spans="1:7" x14ac:dyDescent="0.35">
      <c r="A31" s="43"/>
      <c r="B31" s="44"/>
      <c r="C31" s="44"/>
      <c r="D31" s="43"/>
      <c r="E31" s="43"/>
    </row>
    <row r="32" spans="1:7" x14ac:dyDescent="0.35">
      <c r="A32" s="43"/>
      <c r="B32" s="44"/>
      <c r="C32" s="44"/>
      <c r="D32" s="43"/>
      <c r="E32" s="43"/>
    </row>
    <row r="33" spans="1:5" x14ac:dyDescent="0.35">
      <c r="A33" s="43"/>
      <c r="B33" s="44"/>
      <c r="C33" s="44"/>
      <c r="D33" s="43"/>
      <c r="E33" s="43"/>
    </row>
    <row r="34" spans="1:5" x14ac:dyDescent="0.35">
      <c r="B34" s="44"/>
    </row>
    <row r="35" spans="1:5" x14ac:dyDescent="0.35">
      <c r="B35" s="44"/>
    </row>
    <row r="36" spans="1:5" x14ac:dyDescent="0.35">
      <c r="B36" s="44"/>
    </row>
    <row r="37" spans="1:5" x14ac:dyDescent="0.35">
      <c r="B37" s="44"/>
    </row>
    <row r="38" spans="1:5" x14ac:dyDescent="0.35">
      <c r="B38" s="44"/>
    </row>
    <row r="39" spans="1:5" x14ac:dyDescent="0.35">
      <c r="B39" s="44"/>
    </row>
    <row r="40" spans="1:5" x14ac:dyDescent="0.35">
      <c r="B40" s="44"/>
    </row>
  </sheetData>
  <mergeCells count="4">
    <mergeCell ref="B14:F15"/>
    <mergeCell ref="B18:F20"/>
    <mergeCell ref="B11:F12"/>
    <mergeCell ref="B4:F7"/>
  </mergeCells>
  <hyperlinks>
    <hyperlink ref="E24" r:id="rId1" xr:uid="{1AFBE48C-D940-4357-A7D5-F13DBF083DF0}"/>
    <hyperlink ref="B29" r:id="rId2" xr:uid="{00000000-0004-0000-0200-000000000000}"/>
  </hyperlinks>
  <pageMargins left="0.75" right="0.75" top="0.75" bottom="0.75" header="0.5" footer="0.5"/>
  <pageSetup scale="89" orientation="portrait" r:id="rId3"/>
  <headerFooter alignWithMargins="0"/>
  <customProperties>
    <customPr name="%locator_row%" r:id="rId4"/>
  </customProperties>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7"/>
    <pageSetUpPr fitToPage="1"/>
  </sheetPr>
  <dimension ref="A1:U40"/>
  <sheetViews>
    <sheetView showGridLines="0" showRowColHeaders="0" zoomScaleNormal="100" workbookViewId="0"/>
  </sheetViews>
  <sheetFormatPr defaultColWidth="18.265625" defaultRowHeight="12.75" x14ac:dyDescent="0.35"/>
  <cols>
    <col min="1" max="1" width="5.73046875" style="1" customWidth="1"/>
    <col min="2" max="2" width="21" style="4" customWidth="1"/>
    <col min="3" max="3" width="24.33203125" style="4" customWidth="1"/>
    <col min="4" max="4" width="17.59765625" style="4" customWidth="1"/>
    <col min="5" max="5" width="11.265625" style="4" customWidth="1"/>
    <col min="6" max="6" width="22.73046875" style="4" customWidth="1"/>
    <col min="7" max="7" width="22.73046875" style="1" customWidth="1"/>
    <col min="8" max="8" width="21.796875" style="1" customWidth="1"/>
    <col min="9" max="10" width="23.73046875" style="1" customWidth="1"/>
    <col min="11" max="11" width="20.265625" style="1" customWidth="1"/>
    <col min="12" max="12" width="15.73046875" style="1" customWidth="1"/>
    <col min="13" max="13" width="7.73046875" style="1" customWidth="1"/>
    <col min="14" max="16384" width="18.265625" style="1"/>
  </cols>
  <sheetData>
    <row r="1" spans="1:21" s="42" customFormat="1" ht="22.5" customHeight="1" x14ac:dyDescent="0.35"/>
    <row r="2" spans="1:21" s="42" customFormat="1" ht="27" customHeight="1" x14ac:dyDescent="0.35">
      <c r="A2" s="43"/>
      <c r="B2" s="318" t="s">
        <v>246</v>
      </c>
      <c r="C2" s="11"/>
      <c r="D2" s="11"/>
      <c r="E2" s="43"/>
    </row>
    <row r="3" spans="1:21" s="42" customFormat="1" x14ac:dyDescent="0.35">
      <c r="A3" s="43"/>
      <c r="B3" s="49"/>
      <c r="C3" s="43"/>
      <c r="D3" s="43"/>
      <c r="E3" s="43"/>
    </row>
    <row r="4" spans="1:21" s="4" customFormat="1" ht="18" customHeight="1" x14ac:dyDescent="0.35">
      <c r="A4" s="212" t="s">
        <v>209</v>
      </c>
      <c r="B4" s="213"/>
      <c r="C4" s="213"/>
      <c r="D4" s="213"/>
      <c r="E4" s="213"/>
      <c r="F4" s="213"/>
      <c r="G4" s="213"/>
      <c r="H4" s="213"/>
      <c r="I4" s="213"/>
    </row>
    <row r="5" spans="1:21" s="4" customFormat="1" ht="30.75" customHeight="1" x14ac:dyDescent="0.4">
      <c r="A5" s="182"/>
      <c r="B5" s="231" t="s">
        <v>1</v>
      </c>
      <c r="C5" s="36"/>
      <c r="D5" s="3"/>
      <c r="E5" s="5"/>
      <c r="F5" s="52" t="s">
        <v>36</v>
      </c>
      <c r="G5" s="232">
        <f>VLOOKUP('Assumptions&amp;Calculations'!C22,'Assumptions&amp;Calculations'!A24:D75,4,FALSE)</f>
        <v>0.1237</v>
      </c>
      <c r="H5" s="341" t="str">
        <f>"The "&amp;'Assumptions&amp;Calculations'!D22&amp;" average residential electric rate is $"&amp;'Assumptions&amp;Calculations'!E22&amp;"/kWh. If you know your own rate, enter it here."</f>
        <v>The U.S. average average residential electric rate is $0.1237/kWh. If you know your own rate, enter it here.</v>
      </c>
      <c r="I5" s="342"/>
    </row>
    <row r="6" spans="1:21" ht="27" customHeight="1" x14ac:dyDescent="0.35">
      <c r="A6" s="4"/>
      <c r="B6" s="231" t="s">
        <v>147</v>
      </c>
      <c r="D6" s="51">
        <f ca="1">'Assumptions&amp;Calculations'!D13</f>
        <v>8</v>
      </c>
      <c r="E6" s="243" t="s">
        <v>210</v>
      </c>
      <c r="F6" s="5"/>
      <c r="G6" s="4"/>
      <c r="H6" s="4"/>
      <c r="I6" s="4"/>
      <c r="J6" s="7"/>
      <c r="K6" s="7"/>
    </row>
    <row r="7" spans="1:21" s="8" customFormat="1" ht="25.15" customHeight="1" x14ac:dyDescent="0.45">
      <c r="A7" s="4"/>
      <c r="B7" s="231" t="s">
        <v>183</v>
      </c>
      <c r="C7" s="242"/>
      <c r="D7" s="290">
        <f>IF('Assumptions&amp;Calculations'!I116=1,'Assumptions&amp;Calculations'!D14,IF('Assumptions&amp;Calculations'!I116=2,INPUTS!C22,IF('Assumptions&amp;Calculations'!I116=3,INPUTS!F21,IF('Assumptions&amp;Calculations'!I116=4,INPUTS!I23))))</f>
        <v>22000</v>
      </c>
      <c r="E7" s="351" t="s">
        <v>225</v>
      </c>
      <c r="F7" s="351"/>
      <c r="G7" s="351"/>
      <c r="H7" s="351"/>
      <c r="I7" s="351"/>
      <c r="J7" s="216"/>
      <c r="K7" s="216"/>
      <c r="L7" s="216"/>
      <c r="M7" s="216"/>
      <c r="N7" s="216"/>
      <c r="O7" s="216"/>
      <c r="P7" s="217"/>
      <c r="Q7" s="217"/>
      <c r="R7" s="218"/>
      <c r="S7" s="218"/>
      <c r="T7" s="218"/>
      <c r="U7" s="218"/>
    </row>
    <row r="9" spans="1:21" s="4" customFormat="1" ht="18" customHeight="1" x14ac:dyDescent="0.35">
      <c r="A9" s="212" t="s">
        <v>226</v>
      </c>
      <c r="B9" s="213"/>
      <c r="C9" s="213"/>
      <c r="D9" s="213"/>
      <c r="E9" s="213"/>
      <c r="F9" s="213"/>
      <c r="G9" s="213"/>
      <c r="H9" s="213"/>
      <c r="I9" s="213"/>
    </row>
    <row r="10" spans="1:21" s="2" customFormat="1" ht="29.65" customHeight="1" x14ac:dyDescent="0.4">
      <c r="B10" s="281" t="s">
        <v>236</v>
      </c>
      <c r="C10" s="64"/>
      <c r="D10" s="64"/>
      <c r="E10" s="64"/>
      <c r="F10" s="64"/>
      <c r="G10" s="71"/>
      <c r="H10" s="71"/>
      <c r="I10" s="72"/>
      <c r="J10" s="55"/>
      <c r="K10" s="55"/>
      <c r="L10" s="75"/>
    </row>
    <row r="11" spans="1:21" s="2" customFormat="1" ht="17.649999999999999" customHeight="1" x14ac:dyDescent="0.4">
      <c r="B11" s="73"/>
      <c r="C11" s="74"/>
      <c r="D11" s="74"/>
      <c r="E11" s="71"/>
      <c r="F11" s="71"/>
      <c r="G11" s="71"/>
      <c r="H11" s="71"/>
      <c r="I11" s="72"/>
      <c r="J11" s="66"/>
      <c r="K11" s="55"/>
      <c r="L11" s="75"/>
    </row>
    <row r="12" spans="1:21" s="2" customFormat="1" ht="17.649999999999999" customHeight="1" x14ac:dyDescent="0.4">
      <c r="B12" s="73"/>
      <c r="C12" s="74"/>
      <c r="D12" s="74"/>
      <c r="E12" s="71"/>
      <c r="F12" s="71"/>
      <c r="G12" s="71"/>
      <c r="H12" s="71"/>
      <c r="I12" s="72"/>
      <c r="J12" s="66"/>
      <c r="K12" s="55"/>
      <c r="L12" s="75"/>
    </row>
    <row r="13" spans="1:21" s="2" customFormat="1" ht="17.649999999999999" customHeight="1" x14ac:dyDescent="0.4">
      <c r="B13" s="73"/>
      <c r="C13" s="74"/>
      <c r="D13" s="74"/>
      <c r="E13" s="71"/>
      <c r="F13" s="71"/>
      <c r="G13" s="71"/>
      <c r="H13" s="71"/>
      <c r="I13" s="72"/>
      <c r="J13" s="66"/>
      <c r="K13" s="55"/>
      <c r="L13" s="75"/>
    </row>
    <row r="14" spans="1:21" s="2" customFormat="1" ht="17.649999999999999" customHeight="1" x14ac:dyDescent="0.4">
      <c r="B14" s="73"/>
      <c r="C14" s="74"/>
      <c r="D14" s="74"/>
      <c r="E14" s="71"/>
      <c r="F14" s="71"/>
      <c r="G14" s="71"/>
      <c r="H14" s="71"/>
      <c r="I14" s="72"/>
      <c r="J14" s="66"/>
      <c r="K14" s="55"/>
      <c r="L14" s="75"/>
    </row>
    <row r="15" spans="1:21" s="2" customFormat="1" ht="17.649999999999999" customHeight="1" x14ac:dyDescent="0.4">
      <c r="B15" s="73"/>
      <c r="C15" s="74"/>
      <c r="D15" s="74"/>
      <c r="E15" s="71"/>
      <c r="F15" s="71"/>
      <c r="G15" s="71"/>
      <c r="H15" s="71"/>
      <c r="I15" s="72"/>
      <c r="J15" s="66"/>
      <c r="K15" s="55"/>
      <c r="L15" s="75"/>
    </row>
    <row r="16" spans="1:21" s="2" customFormat="1" ht="17.649999999999999" customHeight="1" x14ac:dyDescent="0.4">
      <c r="B16" s="73"/>
      <c r="C16" s="74"/>
      <c r="D16" s="74"/>
      <c r="E16" s="71"/>
      <c r="F16" s="71"/>
      <c r="G16" s="71"/>
      <c r="H16" s="71"/>
      <c r="I16" s="72"/>
      <c r="J16" s="66"/>
      <c r="K16" s="55"/>
      <c r="L16" s="75"/>
    </row>
    <row r="17" spans="1:16" s="2" customFormat="1" ht="17.649999999999999" customHeight="1" x14ac:dyDescent="0.4">
      <c r="B17" s="73"/>
      <c r="C17" s="74"/>
      <c r="D17" s="74"/>
      <c r="E17" s="71"/>
      <c r="F17" s="71"/>
      <c r="G17" s="71"/>
      <c r="H17" s="71"/>
      <c r="I17" s="72"/>
      <c r="J17" s="66"/>
      <c r="K17" s="55"/>
      <c r="L17" s="75"/>
    </row>
    <row r="18" spans="1:16" s="2" customFormat="1" ht="17.649999999999999" customHeight="1" x14ac:dyDescent="0.35">
      <c r="B18" s="65" t="s">
        <v>13</v>
      </c>
      <c r="C18" s="291">
        <v>30</v>
      </c>
      <c r="D18" s="66"/>
      <c r="E18" s="65" t="s">
        <v>16</v>
      </c>
      <c r="F18" s="61">
        <v>13</v>
      </c>
      <c r="G18" s="67"/>
      <c r="H18" s="65" t="s">
        <v>12</v>
      </c>
      <c r="I18" s="60">
        <v>15</v>
      </c>
      <c r="J18" s="66"/>
      <c r="K18" s="55"/>
      <c r="L18" s="75"/>
    </row>
    <row r="19" spans="1:16" s="2" customFormat="1" ht="17.649999999999999" customHeight="1" x14ac:dyDescent="0.35">
      <c r="B19" s="65" t="s">
        <v>15</v>
      </c>
      <c r="C19" s="291">
        <v>25</v>
      </c>
      <c r="D19" s="66"/>
      <c r="E19" s="65" t="s">
        <v>17</v>
      </c>
      <c r="F19" s="239">
        <f>F18*F18*3.14</f>
        <v>530.66</v>
      </c>
      <c r="G19" s="67"/>
      <c r="H19" s="65" t="s">
        <v>14</v>
      </c>
      <c r="I19" s="60">
        <v>20</v>
      </c>
      <c r="J19" s="66"/>
      <c r="K19" s="55"/>
      <c r="L19" s="75"/>
    </row>
    <row r="20" spans="1:16" s="2" customFormat="1" ht="17.649999999999999" customHeight="1" x14ac:dyDescent="0.35">
      <c r="B20" s="65" t="s">
        <v>17</v>
      </c>
      <c r="C20" s="292">
        <f>C18*C19</f>
        <v>750</v>
      </c>
      <c r="D20" s="66"/>
      <c r="E20" s="65" t="s">
        <v>208</v>
      </c>
      <c r="F20" s="61">
        <v>5.55</v>
      </c>
      <c r="G20" s="67"/>
      <c r="H20" s="65" t="s">
        <v>13</v>
      </c>
      <c r="I20" s="60">
        <v>30</v>
      </c>
      <c r="J20" s="66"/>
      <c r="K20" s="55"/>
      <c r="L20" s="75"/>
    </row>
    <row r="21" spans="1:16" s="2" customFormat="1" ht="17.649999999999999" customHeight="1" x14ac:dyDescent="0.35">
      <c r="B21" s="65" t="s">
        <v>18</v>
      </c>
      <c r="C21" s="291">
        <v>5.5</v>
      </c>
      <c r="D21" s="66"/>
      <c r="E21" s="65" t="s">
        <v>2</v>
      </c>
      <c r="F21" s="240">
        <f>F19*F20*7.48052</f>
        <v>22031.350724759999</v>
      </c>
      <c r="G21" s="67"/>
      <c r="H21" s="65" t="s">
        <v>17</v>
      </c>
      <c r="I21" s="239">
        <f>(I18+I19)*I20*0.45</f>
        <v>472.5</v>
      </c>
      <c r="J21" s="66"/>
      <c r="K21" s="55"/>
      <c r="L21" s="75"/>
    </row>
    <row r="22" spans="1:16" s="2" customFormat="1" ht="17.649999999999999" customHeight="1" x14ac:dyDescent="0.4">
      <c r="B22" s="65" t="s">
        <v>2</v>
      </c>
      <c r="C22" s="293">
        <f>C20*C21*7.48052</f>
        <v>30857.145</v>
      </c>
      <c r="D22" s="66"/>
      <c r="F22" s="241"/>
      <c r="G22" s="67"/>
      <c r="H22" s="65" t="s">
        <v>18</v>
      </c>
      <c r="I22" s="60">
        <v>5.5</v>
      </c>
      <c r="J22" s="66"/>
      <c r="K22" s="55"/>
      <c r="L22" s="75"/>
    </row>
    <row r="23" spans="1:16" s="2" customFormat="1" ht="17.649999999999999" customHeight="1" x14ac:dyDescent="0.35">
      <c r="B23" s="65"/>
      <c r="C23" s="63"/>
      <c r="D23" s="66"/>
      <c r="E23" s="68"/>
      <c r="F23" s="68"/>
      <c r="G23" s="67"/>
      <c r="H23" s="65" t="s">
        <v>2</v>
      </c>
      <c r="I23" s="240">
        <f>I21*I22*7.48052</f>
        <v>19440.001350000002</v>
      </c>
      <c r="J23" s="66"/>
      <c r="K23" s="55"/>
      <c r="L23" s="75"/>
    </row>
    <row r="24" spans="1:16" s="4" customFormat="1" ht="18" customHeight="1" x14ac:dyDescent="0.35">
      <c r="B24" s="233"/>
      <c r="C24" s="233"/>
      <c r="D24" s="233"/>
      <c r="E24" s="233"/>
      <c r="F24" s="233"/>
      <c r="G24" s="233"/>
      <c r="H24" s="233"/>
      <c r="I24" s="233"/>
    </row>
    <row r="25" spans="1:16" ht="14.25" customHeight="1" x14ac:dyDescent="0.4">
      <c r="A25" s="4"/>
      <c r="B25" s="52"/>
      <c r="C25" s="36"/>
      <c r="D25" s="5"/>
      <c r="E25" s="5"/>
      <c r="F25" s="5"/>
      <c r="G25" s="5"/>
      <c r="H25" s="5"/>
      <c r="I25" s="5"/>
      <c r="J25" s="62"/>
    </row>
    <row r="26" spans="1:16" s="8" customFormat="1" ht="29.25" customHeight="1" x14ac:dyDescent="0.35">
      <c r="A26" s="212" t="s">
        <v>214</v>
      </c>
      <c r="B26" s="213"/>
      <c r="C26" s="213"/>
      <c r="D26" s="213"/>
      <c r="E26" s="213"/>
      <c r="F26" s="213"/>
      <c r="G26" s="213"/>
      <c r="H26" s="213"/>
      <c r="I26" s="213"/>
      <c r="J26" s="9"/>
    </row>
    <row r="27" spans="1:16" s="308" customFormat="1" ht="25.5" customHeight="1" x14ac:dyDescent="0.45">
      <c r="A27" s="182"/>
      <c r="B27" s="345" t="s">
        <v>215</v>
      </c>
      <c r="C27" s="346"/>
      <c r="D27" s="347"/>
      <c r="E27" s="306"/>
      <c r="F27" s="348" t="s">
        <v>249</v>
      </c>
      <c r="G27" s="349"/>
      <c r="H27" s="350"/>
      <c r="I27" s="341" t="str">
        <f ca="1">"Note: Based on the information provided and typical pump sizing, the default variable speed pump hydraulic horsepower is "&amp;'Assumptions&amp;Calculations'!D16&amp;". "</f>
        <v xml:space="preserve">Note: Based on the information provided and typical pump sizing, the default variable speed pump hydraulic horsepower is 0.72 hhp (1-1.4 HP). </v>
      </c>
      <c r="J27" s="307"/>
      <c r="K27" s="307"/>
    </row>
    <row r="28" spans="1:16" s="308" customFormat="1" ht="25.5" customHeight="1" x14ac:dyDescent="0.45">
      <c r="A28" s="309"/>
      <c r="B28" s="343" t="s">
        <v>171</v>
      </c>
      <c r="C28" s="344"/>
      <c r="D28" s="51">
        <f ca="1">'Assumptions&amp;Calculations'!D15</f>
        <v>7.2847682119205297</v>
      </c>
      <c r="E28" s="309"/>
      <c r="F28" s="227" t="s">
        <v>168</v>
      </c>
      <c r="G28" s="310"/>
      <c r="H28" s="311" t="s">
        <v>205</v>
      </c>
      <c r="I28" s="341"/>
      <c r="J28" s="320"/>
      <c r="K28" s="312"/>
      <c r="L28" s="313"/>
      <c r="M28" s="313"/>
      <c r="N28" s="313"/>
      <c r="O28" s="313"/>
      <c r="P28" s="313"/>
    </row>
    <row r="29" spans="1:16" s="308" customFormat="1" ht="25.5" customHeight="1" x14ac:dyDescent="0.45">
      <c r="A29" s="309"/>
      <c r="B29" s="343" t="s">
        <v>172</v>
      </c>
      <c r="C29" s="344"/>
      <c r="D29" s="226"/>
      <c r="E29" s="309"/>
      <c r="F29" s="228" t="s">
        <v>196</v>
      </c>
      <c r="G29" s="310"/>
      <c r="H29" s="314"/>
      <c r="I29" s="341"/>
      <c r="J29" s="320"/>
      <c r="K29" s="312"/>
      <c r="L29" s="313"/>
      <c r="M29" s="313"/>
      <c r="N29" s="313"/>
      <c r="O29" s="313"/>
      <c r="P29" s="313"/>
    </row>
    <row r="30" spans="1:16" s="308" customFormat="1" ht="25.5" customHeight="1" x14ac:dyDescent="0.45">
      <c r="A30" s="309"/>
      <c r="B30" s="343" t="s">
        <v>165</v>
      </c>
      <c r="C30" s="358"/>
      <c r="D30" s="321">
        <f>'Assumptions&amp;Calculations'!D17</f>
        <v>1.5</v>
      </c>
      <c r="E30" s="309"/>
      <c r="F30" s="228" t="s">
        <v>235</v>
      </c>
      <c r="G30" s="310"/>
      <c r="H30" s="315">
        <f ca="1">'Assumptions&amp;Calculations'!D18</f>
        <v>1.5</v>
      </c>
      <c r="I30" s="341"/>
      <c r="J30" s="320"/>
      <c r="K30" s="312"/>
      <c r="L30" s="313"/>
      <c r="M30" s="313"/>
      <c r="N30" s="313"/>
      <c r="O30" s="313"/>
      <c r="P30" s="313"/>
    </row>
    <row r="31" spans="1:16" s="308" customFormat="1" ht="25.5" customHeight="1" x14ac:dyDescent="0.45">
      <c r="A31" s="309"/>
      <c r="B31" s="356" t="s">
        <v>251</v>
      </c>
      <c r="C31" s="356"/>
      <c r="D31" s="356"/>
      <c r="E31" s="309"/>
      <c r="F31" s="228" t="s">
        <v>201</v>
      </c>
      <c r="G31" s="316"/>
      <c r="H31" s="183">
        <v>432</v>
      </c>
      <c r="I31" s="342" t="s">
        <v>250</v>
      </c>
      <c r="J31" s="320"/>
      <c r="K31" s="313"/>
      <c r="L31" s="313"/>
      <c r="M31" s="313"/>
    </row>
    <row r="32" spans="1:16" s="308" customFormat="1" ht="25.5" customHeight="1" x14ac:dyDescent="0.45">
      <c r="A32" s="309"/>
      <c r="B32" s="357"/>
      <c r="C32" s="357"/>
      <c r="D32" s="357"/>
      <c r="E32" s="309"/>
      <c r="F32" s="229" t="s">
        <v>217</v>
      </c>
      <c r="G32" s="317"/>
      <c r="H32" s="183">
        <v>0</v>
      </c>
      <c r="I32" s="342"/>
      <c r="J32" s="320"/>
      <c r="L32" s="313"/>
      <c r="M32" s="313"/>
    </row>
    <row r="33" spans="1:13" ht="17.25" customHeight="1" thickBot="1" x14ac:dyDescent="0.4">
      <c r="B33" s="1"/>
      <c r="C33" s="6"/>
      <c r="D33" s="7"/>
      <c r="E33" s="6"/>
      <c r="F33" s="1"/>
      <c r="G33" s="7"/>
      <c r="H33" s="6"/>
      <c r="I33" s="342"/>
      <c r="L33" s="10"/>
      <c r="M33" s="10"/>
    </row>
    <row r="34" spans="1:13" ht="17.25" customHeight="1" thickTop="1" x14ac:dyDescent="0.35">
      <c r="A34" s="8"/>
      <c r="B34" s="1"/>
      <c r="C34" s="1"/>
      <c r="D34" s="1"/>
      <c r="E34" s="352" t="s">
        <v>207</v>
      </c>
      <c r="F34" s="353"/>
      <c r="G34" s="273"/>
      <c r="I34" s="342"/>
      <c r="L34" s="10"/>
      <c r="M34" s="10"/>
    </row>
    <row r="35" spans="1:13" ht="17.25" customHeight="1" thickBot="1" x14ac:dyDescent="0.4">
      <c r="B35" s="1"/>
      <c r="C35" s="1"/>
      <c r="D35" s="1"/>
      <c r="E35" s="354"/>
      <c r="F35" s="355"/>
      <c r="G35" s="273"/>
      <c r="L35" s="10"/>
      <c r="M35" s="10"/>
    </row>
    <row r="36" spans="1:13" ht="17.25" customHeight="1" thickTop="1" x14ac:dyDescent="0.35">
      <c r="A36" s="8"/>
      <c r="B36" s="1"/>
      <c r="C36" s="1"/>
      <c r="D36" s="1"/>
      <c r="L36" s="10"/>
      <c r="M36" s="10"/>
    </row>
    <row r="37" spans="1:13" ht="17.25" customHeight="1" x14ac:dyDescent="0.35">
      <c r="B37" s="1"/>
      <c r="C37" s="1"/>
      <c r="D37" s="1"/>
      <c r="E37" s="1"/>
      <c r="F37" s="1"/>
      <c r="L37" s="10"/>
      <c r="M37" s="10"/>
    </row>
    <row r="38" spans="1:13" ht="17.25" customHeight="1" x14ac:dyDescent="0.35">
      <c r="B38" s="1"/>
      <c r="C38" s="1"/>
      <c r="D38" s="1"/>
      <c r="E38" s="1"/>
      <c r="F38" s="1"/>
      <c r="K38" s="10"/>
      <c r="L38" s="10"/>
      <c r="M38" s="10"/>
    </row>
    <row r="39" spans="1:13" ht="17.25" customHeight="1" x14ac:dyDescent="0.35">
      <c r="B39" s="254" t="s">
        <v>216</v>
      </c>
      <c r="C39" s="1"/>
      <c r="D39" s="1"/>
      <c r="E39" s="1"/>
      <c r="F39" s="1"/>
      <c r="K39" s="10"/>
      <c r="L39" s="10"/>
      <c r="M39" s="10"/>
    </row>
    <row r="40" spans="1:13" ht="17.25" customHeight="1" x14ac:dyDescent="0.35">
      <c r="A40" s="4"/>
      <c r="B40" s="340" t="s">
        <v>227</v>
      </c>
      <c r="C40" s="340"/>
      <c r="D40" s="340"/>
      <c r="E40" s="340"/>
      <c r="F40" s="340"/>
      <c r="G40" s="340"/>
      <c r="H40" s="340"/>
      <c r="I40" s="340"/>
      <c r="J40" s="340"/>
      <c r="K40" s="10"/>
      <c r="L40" s="10"/>
      <c r="M40" s="10"/>
    </row>
  </sheetData>
  <mergeCells count="12">
    <mergeCell ref="B40:J40"/>
    <mergeCell ref="H5:I5"/>
    <mergeCell ref="B29:C29"/>
    <mergeCell ref="B28:C28"/>
    <mergeCell ref="B27:D27"/>
    <mergeCell ref="F27:H27"/>
    <mergeCell ref="E7:I7"/>
    <mergeCell ref="E34:F35"/>
    <mergeCell ref="B31:D32"/>
    <mergeCell ref="B30:C30"/>
    <mergeCell ref="I27:I30"/>
    <mergeCell ref="I31:I34"/>
  </mergeCells>
  <dataValidations xWindow="1055" yWindow="585" count="10">
    <dataValidation type="decimal" allowBlank="1" showInputMessage="1" showErrorMessage="1" error="This value must be between 0 and $0.50/kWh." sqref="G5" xr:uid="{00000000-0002-0000-0000-000000000000}">
      <formula1>0</formula1>
      <formula2>0.5</formula2>
    </dataValidation>
    <dataValidation allowBlank="1" sqref="J6:K6 J9 J7 B39 C33:E33 G33:H33" xr:uid="{00000000-0002-0000-0000-000001000000}"/>
    <dataValidation type="decimal" allowBlank="1" showErrorMessage="1" error="Enter between 0 to 12 months." sqref="D6" xr:uid="{00000000-0002-0000-0000-000003000000}">
      <formula1>0</formula1>
      <formula2>12</formula2>
    </dataValidation>
    <dataValidation allowBlank="1" showInputMessage="1" showErrorMessage="1" prompt="Some state laws restrict the installation and use of certain conventional pumps for residential swimming pool filtration.  Consult a pool professional to correctly size, install and set up the appropriate pump for your specific pool and use." sqref="B29:C29" xr:uid="{00000000-0002-0000-0000-000004000000}"/>
    <dataValidation type="decimal" allowBlank="1" showInputMessage="1" showErrorMessage="1" error="Run time must be between 1 and 24 hours." prompt="Some state laws restrict the installation and use of certain conventional pumps for residential swimming pool filtration.  Consult a pool professional to correctly size, install and set up the appropriate pump for your specific pool and use." sqref="D29" xr:uid="{00000000-0002-0000-0000-000005000000}">
      <formula1>1</formula1>
      <formula2>24</formula2>
    </dataValidation>
    <dataValidation type="decimal" allowBlank="1" showInputMessage="1" showErrorMessage="1" error="Run time is typically between 4 and 24 hours." prompt="Default run time is estimated based on typical operation and the number of turnovers per day. If you know a different run time value for your conventional pump, enter it here." sqref="D28" xr:uid="{00000000-0002-0000-0000-000006000000}">
      <formula1>4</formula1>
      <formula2>24</formula2>
    </dataValidation>
    <dataValidation type="whole" allowBlank="1" showErrorMessage="1" error="Enter a value between 3,000-100,000 gallons." sqref="D7 D9" xr:uid="{00000000-0002-0000-0000-000002000000}">
      <formula1>3000</formula1>
      <formula2>100000</formula2>
    </dataValidation>
    <dataValidation allowBlank="1" showErrorMessage="1" sqref="B30" xr:uid="{76096CD9-178E-4A88-AE43-A7201566C05B}"/>
    <dataValidation type="decimal" allowBlank="1" showErrorMessage="1" sqref="D30" xr:uid="{CFFD89C9-A4A7-4EC0-AABB-D20C7D5DA2DD}">
      <formula1>0.5</formula1>
      <formula2>7</formula2>
    </dataValidation>
    <dataValidation type="decimal" allowBlank="1" showInputMessage="1" showErrorMessage="1" prompt="Desired pool turnovers per day are assumed to be equal to current pool turnovers per day for the conventional option. If your desired pool turnover rate differs, enter it here._x000a_" sqref="H30" xr:uid="{4AC1785E-11EB-485D-9819-2A7E4632D5C4}">
      <formula1>0.5</formula1>
      <formula2>7</formula2>
    </dataValidation>
  </dataValidations>
  <hyperlinks>
    <hyperlink ref="B39" r:id="rId1" display="See https://www.energystar.gov/productfinder/ to find utility incentives for pool pumps by entering your zip code.  Enter these incentives in the &quot;utility incentive&quot; fields below." xr:uid="{14845CD7-C160-40F2-9F84-E2F96717812A}"/>
    <hyperlink ref="E34:F35" location="RESULTS!A1" display="CALCULATE SAVINGS" xr:uid="{E440199B-A92E-4995-9271-6A885012F00C}"/>
  </hyperlinks>
  <printOptions horizontalCentered="1"/>
  <pageMargins left="0.5" right="0.5" top="0.5" bottom="0.5" header="0.25" footer="0.25"/>
  <pageSetup scale="69" orientation="landscape" r:id="rId2"/>
  <headerFooter alignWithMargins="0"/>
  <customProperties>
    <customPr name="%locator_row%"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1025" r:id="rId6" name="Drop Down 1">
              <controlPr defaultSize="0" autoLine="0" autoPict="0">
                <anchor moveWithCells="1">
                  <from>
                    <xdr:col>3</xdr:col>
                    <xdr:colOff>19050</xdr:colOff>
                    <xdr:row>4</xdr:row>
                    <xdr:rowOff>38100</xdr:rowOff>
                  </from>
                  <to>
                    <xdr:col>4</xdr:col>
                    <xdr:colOff>19050</xdr:colOff>
                    <xdr:row>4</xdr:row>
                    <xdr:rowOff>381000</xdr:rowOff>
                  </to>
                </anchor>
              </controlPr>
            </control>
          </mc:Choice>
        </mc:AlternateContent>
        <mc:AlternateContent xmlns:mc="http://schemas.openxmlformats.org/markup-compatibility/2006">
          <mc:Choice Requires="x14">
            <control shapeId="1042" r:id="rId7" name="Drop Down 18">
              <controlPr defaultSize="0" autoLine="0" autoPict="0">
                <anchor moveWithCells="1">
                  <from>
                    <xdr:col>3</xdr:col>
                    <xdr:colOff>0</xdr:colOff>
                    <xdr:row>28</xdr:row>
                    <xdr:rowOff>52388</xdr:rowOff>
                  </from>
                  <to>
                    <xdr:col>4</xdr:col>
                    <xdr:colOff>0</xdr:colOff>
                    <xdr:row>28</xdr:row>
                    <xdr:rowOff>280988</xdr:rowOff>
                  </to>
                </anchor>
              </controlPr>
            </control>
          </mc:Choice>
        </mc:AlternateContent>
        <mc:AlternateContent xmlns:mc="http://schemas.openxmlformats.org/markup-compatibility/2006">
          <mc:Choice Requires="x14">
            <control shapeId="1048" r:id="rId8" name="Drop Down 24">
              <controlPr defaultSize="0" autoLine="0" autoPict="0">
                <anchor moveWithCells="1">
                  <from>
                    <xdr:col>7</xdr:col>
                    <xdr:colOff>0</xdr:colOff>
                    <xdr:row>28</xdr:row>
                    <xdr:rowOff>0</xdr:rowOff>
                  </from>
                  <to>
                    <xdr:col>7</xdr:col>
                    <xdr:colOff>1181100</xdr:colOff>
                    <xdr:row>28</xdr:row>
                    <xdr:rowOff>242888</xdr:rowOff>
                  </to>
                </anchor>
              </controlPr>
            </control>
          </mc:Choice>
        </mc:AlternateContent>
        <mc:AlternateContent xmlns:mc="http://schemas.openxmlformats.org/markup-compatibility/2006">
          <mc:Choice Requires="x14">
            <control shapeId="1049" r:id="rId9" name="Drop Down 25">
              <controlPr defaultSize="0" autoLine="0" autoPict="0">
                <anchor moveWithCells="1">
                  <from>
                    <xdr:col>1</xdr:col>
                    <xdr:colOff>19050</xdr:colOff>
                    <xdr:row>9</xdr:row>
                    <xdr:rowOff>361950</xdr:rowOff>
                  </from>
                  <to>
                    <xdr:col>2</xdr:col>
                    <xdr:colOff>19050</xdr:colOff>
                    <xdr:row>11</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 id="{6DBED0C9-B87C-458F-9B0F-C45E4378CC5F}">
            <xm:f>'Assumptions&amp;Calculations'!$E$116=2</xm:f>
            <x14:dxf>
              <font>
                <color theme="0" tint="-0.14996795556505021"/>
              </font>
              <fill>
                <patternFill>
                  <bgColor theme="0"/>
                </patternFill>
              </fill>
              <border>
                <left/>
                <right/>
                <top/>
              </border>
            </x14:dxf>
          </x14:cfRule>
          <xm:sqref>F29:F30</xm:sqref>
        </x14:conditionalFormatting>
        <x14:conditionalFormatting xmlns:xm="http://schemas.microsoft.com/office/excel/2006/main">
          <x14:cfRule type="expression" priority="10" id="{958367B9-949D-4EDA-8730-3E92964ACC53}">
            <xm:f>'Assumptions&amp;Calculations'!$E$116=2</xm:f>
            <x14:dxf>
              <font>
                <color theme="0"/>
              </font>
            </x14:dxf>
          </x14:cfRule>
          <xm:sqref>I27</xm:sqref>
        </x14:conditionalFormatting>
        <x14:conditionalFormatting xmlns:xm="http://schemas.microsoft.com/office/excel/2006/main">
          <x14:cfRule type="expression" priority="4" id="{7DC0F7E9-7E03-4F96-9913-2B2522965902}">
            <xm:f>'Assumptions&amp;Calculations'!$I$116&lt;&gt;4</xm:f>
            <x14:dxf>
              <font>
                <color theme="0" tint="-0.14996795556505021"/>
              </font>
              <fill>
                <patternFill patternType="lightGray">
                  <fgColor theme="0" tint="-0.24994659260841701"/>
                  <bgColor theme="0"/>
                </patternFill>
              </fill>
              <border>
                <left style="thin">
                  <color theme="0" tint="-0.499984740745262"/>
                </left>
                <right style="thin">
                  <color theme="0" tint="-0.499984740745262"/>
                </right>
                <top style="thin">
                  <color theme="0" tint="-0.499984740745262"/>
                </top>
                <bottom style="thin">
                  <color theme="0" tint="-0.499984740745262"/>
                </bottom>
              </border>
            </x14:dxf>
          </x14:cfRule>
          <xm:sqref>I18:I23</xm:sqref>
        </x14:conditionalFormatting>
        <x14:conditionalFormatting xmlns:xm="http://schemas.microsoft.com/office/excel/2006/main">
          <x14:cfRule type="expression" priority="5" id="{2F1942FE-153A-49EF-9038-BD3A905A8C23}">
            <xm:f>'Assumptions&amp;Calculations'!$I$116&lt;&gt;3</xm:f>
            <x14:dxf>
              <font>
                <color theme="0" tint="-0.14996795556505021"/>
              </font>
              <fill>
                <patternFill patternType="lightGray">
                  <fgColor theme="0" tint="-0.24994659260841701"/>
                  <bgColor theme="0"/>
                </patternFill>
              </fill>
              <border>
                <left style="thin">
                  <color theme="0" tint="-0.499984740745262"/>
                </left>
                <right style="thin">
                  <color theme="0" tint="-0.499984740745262"/>
                </right>
                <top style="thin">
                  <color theme="0" tint="-0.499984740745262"/>
                </top>
                <bottom style="thin">
                  <color theme="0" tint="-0.499984740745262"/>
                </bottom>
              </border>
            </x14:dxf>
          </x14:cfRule>
          <xm:sqref>F18:F22</xm:sqref>
        </x14:conditionalFormatting>
        <x14:conditionalFormatting xmlns:xm="http://schemas.microsoft.com/office/excel/2006/main">
          <x14:cfRule type="expression" priority="6" id="{9E15E9BC-794F-4CDE-9093-C5F52B93CAEC}">
            <xm:f>'Assumptions&amp;Calculations'!$I$116&lt;&gt;2</xm:f>
            <x14:dxf>
              <font>
                <color theme="0" tint="-0.14996795556505021"/>
              </font>
              <fill>
                <patternFill patternType="lightGray">
                  <fgColor theme="0" tint="-0.24994659260841701"/>
                  <bgColor theme="0"/>
                </patternFill>
              </fill>
              <border>
                <left style="thin">
                  <color theme="0" tint="-0.499984740745262"/>
                </left>
                <right style="thin">
                  <color theme="0" tint="-0.499984740745262"/>
                </right>
                <top style="thin">
                  <color theme="0" tint="-0.499984740745262"/>
                </top>
                <bottom style="thin">
                  <color theme="0" tint="-0.499984740745262"/>
                </bottom>
              </border>
            </x14:dxf>
          </x14:cfRule>
          <xm:sqref>C18:C23</xm:sqref>
        </x14:conditionalFormatting>
        <x14:conditionalFormatting xmlns:xm="http://schemas.microsoft.com/office/excel/2006/main">
          <x14:cfRule type="expression" priority="7" id="{ACE08FCB-B8A2-472D-A63E-D4F58A429B87}">
            <xm:f>'Assumptions&amp;Calculations'!$I$116&lt;&gt;1</xm:f>
            <x14:dxf>
              <font>
                <color theme="0"/>
              </font>
              <fill>
                <patternFill patternType="none">
                  <fgColor indexed="64"/>
                  <bgColor auto="1"/>
                </patternFill>
              </fill>
              <border>
                <left/>
                <right/>
                <top/>
                <bottom/>
              </border>
            </x14:dxf>
          </x14:cfRule>
          <xm:sqref>B18:B23</xm:sqref>
        </x14:conditionalFormatting>
        <x14:conditionalFormatting xmlns:xm="http://schemas.microsoft.com/office/excel/2006/main">
          <x14:cfRule type="expression" priority="8" id="{AAF38F51-9C1A-4509-9525-2731111EB552}">
            <xm:f>'Assumptions&amp;Calculations'!$I$116&lt;&gt;2</xm:f>
            <x14:dxf>
              <font>
                <color theme="0"/>
              </font>
              <fill>
                <patternFill patternType="none">
                  <fgColor indexed="64"/>
                  <bgColor auto="1"/>
                </patternFill>
              </fill>
              <border>
                <left/>
                <right/>
                <top/>
                <bottom/>
              </border>
            </x14:dxf>
          </x14:cfRule>
          <xm:sqref>E18:E21</xm:sqref>
        </x14:conditionalFormatting>
        <x14:conditionalFormatting xmlns:xm="http://schemas.microsoft.com/office/excel/2006/main">
          <x14:cfRule type="expression" priority="9" id="{999427E3-34B9-4CFD-9F06-76B92B9B7C26}">
            <xm:f>'Assumptions&amp;Calculations'!$I$116&lt;&gt;3</xm:f>
            <x14:dxf>
              <font>
                <color theme="0"/>
              </font>
              <fill>
                <patternFill patternType="none">
                  <fgColor indexed="64"/>
                  <bgColor auto="1"/>
                </patternFill>
              </fill>
              <border>
                <left/>
                <right/>
                <top/>
                <bottom/>
              </border>
            </x14:dxf>
          </x14:cfRule>
          <xm:sqref>H18:H23</xm:sqref>
        </x14:conditionalFormatting>
        <x14:conditionalFormatting xmlns:xm="http://schemas.microsoft.com/office/excel/2006/main">
          <x14:cfRule type="expression" priority="3" id="{42AFDA09-9054-4E11-83A3-5C86AAD4CF28}">
            <xm:f>'Assumptions&amp;Calculations'!$E$116=2</xm:f>
            <x14:dxf>
              <font>
                <color theme="0"/>
              </font>
            </x14:dxf>
          </x14:cfRule>
          <xm:sqref>I31</xm:sqref>
        </x14:conditionalFormatting>
        <x14:conditionalFormatting xmlns:xm="http://schemas.microsoft.com/office/excel/2006/main">
          <x14:cfRule type="expression" priority="2" id="{EA18757E-0586-473A-84EC-9C49687EBB40}">
            <xm:f>'Assumptions&amp;Calculations'!$E$116=2</xm:f>
            <x14:dxf>
              <font>
                <color theme="0"/>
              </font>
            </x14:dxf>
          </x14:cfRule>
          <xm:sqref>B31</xm:sqref>
        </x14:conditionalFormatting>
        <x14:conditionalFormatting xmlns:xm="http://schemas.microsoft.com/office/excel/2006/main">
          <x14:cfRule type="expression" priority="1" id="{79559F76-0A24-4C45-A588-130924AA23D3}">
            <xm:f>'Assumptions&amp;Calculations'!$D$15&lt;&gt;'Assumptions&amp;Calculations'!$E$15</xm:f>
            <x14:dxf>
              <font>
                <color theme="0" tint="-0.34998626667073579"/>
              </font>
              <fill>
                <patternFill patternType="lightGray">
                  <bgColor theme="0" tint="-4.9989318521683403E-2"/>
                </patternFill>
              </fill>
            </x14:dxf>
          </x14:cfRule>
          <xm:sqref>B30 D30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8"/>
    <outlinePr summaryBelow="0" summaryRight="0"/>
    <pageSetUpPr fitToPage="1"/>
  </sheetPr>
  <dimension ref="A1:AD18"/>
  <sheetViews>
    <sheetView showGridLines="0" showRowColHeaders="0" zoomScaleNormal="100" workbookViewId="0"/>
  </sheetViews>
  <sheetFormatPr defaultColWidth="12.33203125" defaultRowHeight="13.15" x14ac:dyDescent="0.4"/>
  <cols>
    <col min="1" max="1" width="5.73046875" style="12" customWidth="1"/>
    <col min="2" max="2" width="30" style="12" customWidth="1"/>
    <col min="3" max="5" width="11.265625" style="12" customWidth="1"/>
    <col min="6" max="6" width="12.265625" style="12" customWidth="1"/>
    <col min="7" max="13" width="11.265625" style="12" customWidth="1"/>
    <col min="14" max="16384" width="12.33203125" style="12"/>
  </cols>
  <sheetData>
    <row r="1" spans="1:30" s="42" customFormat="1" ht="22.5" customHeight="1" x14ac:dyDescent="0.35"/>
    <row r="2" spans="1:30" s="42" customFormat="1" ht="27" customHeight="1" x14ac:dyDescent="0.35">
      <c r="A2" s="43"/>
      <c r="B2" s="318" t="s">
        <v>246</v>
      </c>
      <c r="C2" s="11"/>
      <c r="D2" s="11"/>
      <c r="E2" s="43"/>
    </row>
    <row r="3" spans="1:30" s="42" customFormat="1" ht="12.75" x14ac:dyDescent="0.35">
      <c r="A3" s="43"/>
      <c r="B3" s="49"/>
      <c r="C3" s="43"/>
      <c r="D3" s="43"/>
      <c r="E3" s="43"/>
    </row>
    <row r="4" spans="1:30" s="17" customFormat="1" ht="22.15" customHeight="1" x14ac:dyDescent="0.4">
      <c r="A4" s="13"/>
      <c r="B4" s="14" t="s">
        <v>3</v>
      </c>
      <c r="C4" s="15"/>
      <c r="D4" s="15"/>
      <c r="E4" s="15"/>
      <c r="F4" s="15"/>
      <c r="G4" s="15"/>
      <c r="H4" s="15"/>
      <c r="I4" s="15"/>
      <c r="J4" s="15"/>
      <c r="K4" s="16"/>
      <c r="L4" s="16"/>
      <c r="M4" s="13"/>
      <c r="N4" s="13"/>
      <c r="O4" s="13"/>
      <c r="P4" s="13"/>
      <c r="Q4" s="13"/>
      <c r="R4" s="13"/>
      <c r="S4" s="13"/>
      <c r="T4" s="13"/>
      <c r="U4" s="13"/>
      <c r="V4" s="13"/>
      <c r="W4" s="13"/>
      <c r="X4" s="13"/>
      <c r="Y4" s="13"/>
      <c r="Z4" s="13"/>
      <c r="AA4" s="13"/>
      <c r="AB4" s="13"/>
      <c r="AC4" s="13"/>
    </row>
    <row r="5" spans="1:30" s="17" customFormat="1" ht="25.5" customHeight="1" x14ac:dyDescent="0.4">
      <c r="A5" s="13"/>
      <c r="B5" s="369" t="str">
        <f ca="1">"Each year, the ENERGY STAR model of your selected pool pump will save approximately "&amp;IF(C9&lt;1,"",TEXT(C9,"#,###")&amp;" kWh of electricity")&amp;", for cost savings of $"&amp;IF(D9=0,0,(IF(D9&lt;1,TEXT(D9,"0.##"),TEXT(D9,"#,###"))))&amp;". By choosing ENERGY STAR you will reduce emissions by approximately "&amp;IF(E9=0,0,IF(E9&lt;1,ROUND(E9,1),TEXT(E9,"#,###")))&amp;" pound"&amp;IF(E9&lt;1.5,"","s")&amp;" of carbon dioxide annually. If your pool is older and has thinner water pipes, your savings may be greater than calculated here."</f>
        <v>Each year, the ENERGY STAR model of your selected pool pump will save approximately 2,271 kWh of electricity, for cost savings of $281. By choosing ENERGY STAR you will reduce emissions by approximately 3,538 pounds of carbon dioxide annually. If your pool is older and has thinner water pipes, your savings may be greater than calculated here.</v>
      </c>
      <c r="C5" s="369"/>
      <c r="D5" s="369"/>
      <c r="E5" s="369"/>
      <c r="F5" s="369"/>
      <c r="G5" s="369"/>
      <c r="H5" s="369"/>
      <c r="I5" s="369"/>
      <c r="J5" s="369"/>
      <c r="K5" s="369"/>
      <c r="L5" s="369"/>
      <c r="M5" s="369"/>
      <c r="N5" s="13"/>
      <c r="O5" s="13"/>
      <c r="P5" s="13"/>
      <c r="Q5" s="13"/>
      <c r="R5" s="13"/>
      <c r="S5" s="13"/>
      <c r="T5" s="13"/>
      <c r="U5" s="13"/>
      <c r="V5" s="13"/>
      <c r="W5" s="13"/>
      <c r="X5" s="13"/>
      <c r="Y5" s="13"/>
      <c r="Z5" s="13"/>
      <c r="AA5" s="13"/>
      <c r="AB5" s="13"/>
      <c r="AC5" s="13"/>
    </row>
    <row r="6" spans="1:30" s="17" customFormat="1" ht="24" customHeight="1" x14ac:dyDescent="0.5">
      <c r="A6" s="13"/>
      <c r="B6" s="18" t="s">
        <v>4</v>
      </c>
      <c r="C6" s="15"/>
      <c r="D6" s="15"/>
      <c r="E6" s="15"/>
      <c r="G6" s="15"/>
      <c r="H6" s="15"/>
      <c r="I6" s="15"/>
      <c r="J6" s="15"/>
      <c r="K6" s="16"/>
      <c r="L6" s="16"/>
      <c r="M6" s="13"/>
      <c r="N6" s="13"/>
      <c r="O6" s="13"/>
      <c r="P6" s="13"/>
      <c r="Q6" s="13"/>
      <c r="R6" s="13"/>
      <c r="S6" s="13"/>
      <c r="T6" s="13"/>
      <c r="U6" s="13"/>
      <c r="V6" s="13"/>
      <c r="W6" s="13"/>
      <c r="X6" s="13"/>
      <c r="Y6" s="13"/>
      <c r="Z6" s="13"/>
      <c r="AA6" s="13"/>
      <c r="AB6" s="13"/>
      <c r="AC6" s="13"/>
    </row>
    <row r="7" spans="1:30" ht="27" customHeight="1" x14ac:dyDescent="0.4">
      <c r="A7" s="11"/>
      <c r="B7" s="365"/>
      <c r="C7" s="366" t="s">
        <v>104</v>
      </c>
      <c r="D7" s="367"/>
      <c r="E7" s="367"/>
      <c r="F7" s="368"/>
      <c r="G7" s="362" t="s">
        <v>105</v>
      </c>
      <c r="H7" s="363"/>
      <c r="I7" s="364"/>
      <c r="J7" s="359" t="s">
        <v>108</v>
      </c>
      <c r="K7" s="359" t="s">
        <v>5</v>
      </c>
      <c r="L7" s="359" t="s">
        <v>6</v>
      </c>
      <c r="M7" s="359" t="s">
        <v>7</v>
      </c>
      <c r="S7" s="11"/>
      <c r="T7" s="11"/>
      <c r="U7" s="11"/>
      <c r="V7" s="11"/>
      <c r="W7" s="11"/>
      <c r="X7" s="11"/>
      <c r="Y7" s="11"/>
      <c r="Z7" s="11"/>
      <c r="AA7" s="11"/>
      <c r="AB7" s="11"/>
      <c r="AC7" s="11"/>
      <c r="AD7" s="11"/>
    </row>
    <row r="8" spans="1:30" ht="58.15" x14ac:dyDescent="0.4">
      <c r="A8" s="11"/>
      <c r="B8" s="365"/>
      <c r="C8" s="294" t="s">
        <v>9</v>
      </c>
      <c r="D8" s="294" t="s">
        <v>8</v>
      </c>
      <c r="E8" s="294" t="s">
        <v>10</v>
      </c>
      <c r="F8" s="294" t="s">
        <v>106</v>
      </c>
      <c r="G8" s="294" t="s">
        <v>9</v>
      </c>
      <c r="H8" s="294" t="s">
        <v>8</v>
      </c>
      <c r="I8" s="294" t="s">
        <v>11</v>
      </c>
      <c r="J8" s="359"/>
      <c r="K8" s="359"/>
      <c r="L8" s="359"/>
      <c r="M8" s="359"/>
      <c r="S8" s="11"/>
      <c r="T8" s="11"/>
      <c r="U8" s="11"/>
      <c r="V8" s="11"/>
      <c r="W8" s="11"/>
      <c r="X8" s="11"/>
      <c r="Y8" s="11"/>
      <c r="Z8" s="11"/>
      <c r="AA8" s="11"/>
      <c r="AB8" s="11"/>
      <c r="AC8" s="11"/>
      <c r="AD8" s="11"/>
    </row>
    <row r="9" spans="1:30" ht="23.25" x14ac:dyDescent="0.4">
      <c r="A9" s="11"/>
      <c r="B9" s="269" t="str">
        <f ca="1">IF('Assumptions&amp;Calculations'!E116=1," Variable-speed"," Variable speed")&amp;" pump                                   (operating "&amp;INPUTS!D6&amp;" months per year)"</f>
        <v xml:space="preserve"> Variable-speed pump                                   (operating 8 months per year)</v>
      </c>
      <c r="C9" s="82">
        <f ca="1">'Assumptions&amp;Calculations'!E98</f>
        <v>2270.9265129024884</v>
      </c>
      <c r="D9" s="81">
        <f ca="1">C9*INPUTS!G5</f>
        <v>280.9136096460378</v>
      </c>
      <c r="E9" s="82">
        <f ca="1">'Assumptions&amp;Calculations'!E98*'Assumptions&amp;Calculations'!C80</f>
        <v>3538.1035071020769</v>
      </c>
      <c r="F9" s="82">
        <f ca="1">'Assumptions&amp;Calculations'!D98</f>
        <v>922.48275862068965</v>
      </c>
      <c r="G9" s="82">
        <f ca="1">C9*M9</f>
        <v>22709.265129024883</v>
      </c>
      <c r="H9" s="81">
        <f ca="1">PV('Assumptions&amp;Calculations'!C78,M9,-D9,,0)</f>
        <v>2278.4610108414363</v>
      </c>
      <c r="I9" s="81">
        <f ca="1">H9-K9</f>
        <v>1846.4610108414363</v>
      </c>
      <c r="J9" s="83">
        <f ca="1">'Assumptions&amp;Calculations'!E98/'Assumptions&amp;Calculations'!C98</f>
        <v>0.71112917882251658</v>
      </c>
      <c r="K9" s="81">
        <f>'Assumptions&amp;Calculations'!E19-INPUTS!H32</f>
        <v>432</v>
      </c>
      <c r="L9" s="84">
        <f ca="1">IF(K9&gt;0,K9/D9,"immediate")</f>
        <v>1.5378393398039241</v>
      </c>
      <c r="M9" s="145">
        <f>'Assumptions&amp;Calculations'!D85</f>
        <v>10</v>
      </c>
      <c r="N9" s="19"/>
      <c r="S9" s="11"/>
      <c r="T9" s="11"/>
      <c r="U9" s="11"/>
      <c r="V9" s="11"/>
      <c r="W9" s="11"/>
      <c r="X9" s="11"/>
      <c r="Y9" s="11"/>
      <c r="Z9" s="11"/>
      <c r="AA9" s="11"/>
      <c r="AB9" s="11"/>
      <c r="AC9" s="11"/>
      <c r="AD9" s="11"/>
    </row>
    <row r="10" spans="1:30" s="78" customFormat="1" ht="54" customHeight="1" x14ac:dyDescent="0.45">
      <c r="A10" s="77"/>
      <c r="B10" s="360" t="s">
        <v>204</v>
      </c>
      <c r="C10" s="361"/>
      <c r="D10" s="361"/>
      <c r="E10" s="361"/>
      <c r="F10" s="361"/>
      <c r="G10" s="361"/>
      <c r="H10" s="361"/>
      <c r="I10" s="361"/>
      <c r="J10" s="361"/>
      <c r="K10" s="361"/>
      <c r="L10" s="361"/>
      <c r="M10" s="361"/>
      <c r="N10" s="85"/>
      <c r="O10" s="86"/>
      <c r="P10" s="79"/>
      <c r="Q10" s="80"/>
      <c r="R10" s="56"/>
      <c r="S10" s="77"/>
      <c r="T10" s="77"/>
      <c r="U10" s="77"/>
      <c r="V10" s="77"/>
      <c r="W10" s="77"/>
      <c r="X10" s="77"/>
      <c r="Y10" s="77"/>
      <c r="Z10" s="77"/>
      <c r="AA10" s="77"/>
      <c r="AB10" s="77"/>
      <c r="AC10" s="77"/>
    </row>
    <row r="11" spans="1:30" ht="13.5" customHeight="1" x14ac:dyDescent="0.4">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row>
    <row r="12" spans="1:30" ht="13.5" customHeight="1" x14ac:dyDescent="0.4">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row>
    <row r="13" spans="1:30" ht="13.5" customHeight="1" x14ac:dyDescent="0.4">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row>
    <row r="14" spans="1:30" ht="13.5" customHeight="1" x14ac:dyDescent="0.4">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row>
    <row r="15" spans="1:30" ht="13.5" customHeight="1" x14ac:dyDescent="0.4">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row>
    <row r="16" spans="1:30" ht="13.5" customHeight="1" x14ac:dyDescent="0.4">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row>
    <row r="17" spans="1:29" ht="13.5" customHeight="1" x14ac:dyDescent="0.4">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row>
    <row r="18" spans="1:29" ht="13.5" customHeight="1" x14ac:dyDescent="0.4">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row>
  </sheetData>
  <mergeCells count="9">
    <mergeCell ref="B5:M5"/>
    <mergeCell ref="M7:M8"/>
    <mergeCell ref="B10:M10"/>
    <mergeCell ref="G7:I7"/>
    <mergeCell ref="B7:B8"/>
    <mergeCell ref="C7:F7"/>
    <mergeCell ref="J7:J8"/>
    <mergeCell ref="K7:K8"/>
    <mergeCell ref="L7:L8"/>
  </mergeCells>
  <dataValidations count="2">
    <dataValidation allowBlank="1" showInputMessage="1" showErrorMessage="1" prompt="Life cycle costs are discounted over the product lifetime using a real discount rate of 4%. See General Assumptions tab to adjust the discount rate." sqref="H8:H9" xr:uid="{00000000-0002-0000-0200-000000000000}"/>
    <dataValidation allowBlank="1" showInputMessage="1" showErrorMessage="1" prompt="Net life cycle cost savings = life cycle cost savings - additional purchase price" sqref="I8:I9" xr:uid="{00000000-0002-0000-0200-000001000000}"/>
  </dataValidations>
  <printOptions horizontalCentered="1"/>
  <pageMargins left="0.5" right="0.5" top="0.5" bottom="0.5" header="0.25" footer="0.25"/>
  <pageSetup scale="69" orientation="landscape" r:id="rId1"/>
  <headerFooter alignWithMargins="0"/>
  <customProperties>
    <customPr name="%locator_row%"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34998626667073579"/>
    <pageSetUpPr fitToPage="1"/>
  </sheetPr>
  <dimension ref="A1:X140"/>
  <sheetViews>
    <sheetView showGridLines="0" showRowColHeaders="0" zoomScaleNormal="100" workbookViewId="0"/>
  </sheetViews>
  <sheetFormatPr defaultColWidth="15.73046875" defaultRowHeight="14.25" customHeight="1" x14ac:dyDescent="0.4"/>
  <cols>
    <col min="1" max="1" width="5.73046875" style="59" customWidth="1"/>
    <col min="2" max="2" width="33.73046875" style="90" customWidth="1"/>
    <col min="3" max="3" width="21.73046875" style="90" customWidth="1"/>
    <col min="4" max="4" width="21.53125" style="90" customWidth="1"/>
    <col min="5" max="5" width="19.59765625" style="90" customWidth="1"/>
    <col min="6" max="7" width="19.59765625" style="91" customWidth="1"/>
    <col min="8" max="8" width="12.19921875" style="91" customWidth="1"/>
    <col min="9" max="9" width="11" style="59" customWidth="1"/>
    <col min="10" max="10" width="3.73046875" style="59" customWidth="1"/>
    <col min="11" max="11" width="11.73046875" style="59" customWidth="1"/>
    <col min="12" max="13" width="11.33203125" style="59" customWidth="1"/>
    <col min="14" max="22" width="11.33203125" style="89" customWidth="1"/>
    <col min="23" max="16384" width="15.73046875" style="89"/>
  </cols>
  <sheetData>
    <row r="1" spans="1:23" s="42" customFormat="1" ht="22.5" customHeight="1" x14ac:dyDescent="0.35"/>
    <row r="2" spans="1:23" s="42" customFormat="1" ht="27" customHeight="1" x14ac:dyDescent="0.35">
      <c r="A2" s="43"/>
      <c r="B2" s="318" t="s">
        <v>246</v>
      </c>
      <c r="C2" s="11"/>
      <c r="D2" s="11"/>
      <c r="E2" s="43"/>
    </row>
    <row r="3" spans="1:23" s="42" customFormat="1" ht="12.75" x14ac:dyDescent="0.35">
      <c r="A3" s="43"/>
      <c r="B3" s="49"/>
      <c r="C3" s="43"/>
      <c r="D3" s="43"/>
      <c r="E3" s="43"/>
    </row>
    <row r="4" spans="1:23" s="87" customFormat="1" ht="17.25" x14ac:dyDescent="0.45">
      <c r="B4" s="50" t="s">
        <v>230</v>
      </c>
      <c r="C4" s="69"/>
      <c r="D4" s="69"/>
      <c r="E4" s="69"/>
      <c r="F4" s="70"/>
      <c r="G4"/>
      <c r="J4" s="88"/>
    </row>
    <row r="5" spans="1:23" s="87" customFormat="1" ht="27" customHeight="1" x14ac:dyDescent="0.45">
      <c r="A5" s="50"/>
      <c r="B5" s="259" t="s">
        <v>220</v>
      </c>
      <c r="C5" s="260"/>
      <c r="D5" s="260"/>
      <c r="E5" s="260"/>
      <c r="F5" s="261"/>
      <c r="G5"/>
      <c r="J5" s="88"/>
    </row>
    <row r="6" spans="1:23" s="257" customFormat="1" ht="12.7" customHeight="1" x14ac:dyDescent="0.35">
      <c r="A6" s="255"/>
      <c r="B6" s="370" t="s">
        <v>222</v>
      </c>
      <c r="C6" s="370"/>
      <c r="D6" s="370"/>
      <c r="E6" s="370"/>
      <c r="F6" s="370"/>
      <c r="G6" s="256"/>
    </row>
    <row r="7" spans="1:23" s="257" customFormat="1" ht="28.9" customHeight="1" x14ac:dyDescent="0.35">
      <c r="A7" s="255"/>
      <c r="B7" s="370"/>
      <c r="C7" s="370"/>
      <c r="D7" s="370"/>
      <c r="E7" s="370"/>
      <c r="F7" s="370"/>
      <c r="G7" s="258"/>
    </row>
    <row r="8" spans="1:23" s="257" customFormat="1" x14ac:dyDescent="0.35">
      <c r="A8" s="255"/>
      <c r="B8" s="268" t="s">
        <v>224</v>
      </c>
      <c r="C8" s="267"/>
      <c r="D8" s="267"/>
      <c r="E8" s="267"/>
      <c r="F8" s="267"/>
      <c r="G8" s="258"/>
    </row>
    <row r="9" spans="1:23" s="257" customFormat="1" ht="12.75" x14ac:dyDescent="0.35">
      <c r="A9" s="255"/>
      <c r="B9" s="262" t="s">
        <v>219</v>
      </c>
      <c r="C9" s="263"/>
      <c r="D9" s="263"/>
      <c r="E9" s="263"/>
      <c r="F9" s="263"/>
    </row>
    <row r="10" spans="1:23" s="87" customFormat="1" ht="17.2" customHeight="1" x14ac:dyDescent="0.45">
      <c r="A10" s="50"/>
      <c r="B10" s="260"/>
      <c r="C10" s="260"/>
      <c r="D10" s="260"/>
      <c r="E10" s="260"/>
      <c r="F10" s="261"/>
      <c r="G10"/>
      <c r="J10" s="88"/>
    </row>
    <row r="11" spans="1:23" s="54" customFormat="1" ht="16.5" customHeight="1" x14ac:dyDescent="0.45">
      <c r="B11" s="304" t="s">
        <v>221</v>
      </c>
      <c r="C11" s="305"/>
      <c r="D11" s="305"/>
      <c r="E11" s="305"/>
      <c r="F11" s="259"/>
      <c r="G11" s="94"/>
      <c r="H11" s="93"/>
      <c r="I11" s="93"/>
      <c r="J11" s="140"/>
      <c r="K11" s="140"/>
      <c r="N11" s="57"/>
    </row>
    <row r="12" spans="1:23" s="54" customFormat="1" ht="14.25" customHeight="1" x14ac:dyDescent="0.45">
      <c r="A12" s="37"/>
      <c r="B12" s="382"/>
      <c r="C12" s="382"/>
      <c r="D12" s="295" t="s">
        <v>127</v>
      </c>
      <c r="E12" s="295" t="s">
        <v>139</v>
      </c>
      <c r="F12" s="259"/>
      <c r="G12" s="170"/>
      <c r="H12" s="97"/>
      <c r="I12" s="97"/>
      <c r="J12" s="140"/>
      <c r="K12" s="140"/>
      <c r="N12" s="57"/>
    </row>
    <row r="13" spans="1:23" s="88" customFormat="1" ht="14.25" customHeight="1" x14ac:dyDescent="0.4">
      <c r="A13" s="95"/>
      <c r="B13" s="382" t="s">
        <v>179</v>
      </c>
      <c r="C13" s="382"/>
      <c r="D13" s="296">
        <f ca="1">IF('Assumptions&amp;Calculations'!F22="Average",8,'Assumptions&amp;Calculations'!F22)</f>
        <v>8</v>
      </c>
      <c r="E13" s="296">
        <f ca="1">INPUTS!D6</f>
        <v>8</v>
      </c>
      <c r="F13" s="264"/>
      <c r="G13" s="170"/>
      <c r="H13" s="97"/>
      <c r="I13" s="97"/>
      <c r="J13" s="99"/>
      <c r="K13" s="99"/>
      <c r="L13" s="99"/>
      <c r="M13" s="99"/>
      <c r="N13" s="99"/>
      <c r="O13" s="99"/>
      <c r="P13" s="99"/>
      <c r="Q13" s="99"/>
      <c r="R13" s="99"/>
      <c r="S13" s="99"/>
      <c r="T13" s="99"/>
      <c r="U13" s="99"/>
      <c r="V13" s="99"/>
      <c r="W13" s="99"/>
    </row>
    <row r="14" spans="1:23" s="88" customFormat="1" ht="14.25" customHeight="1" x14ac:dyDescent="0.4">
      <c r="A14" s="95"/>
      <c r="B14" s="383" t="s">
        <v>102</v>
      </c>
      <c r="C14" s="384"/>
      <c r="D14" s="297">
        <v>22000</v>
      </c>
      <c r="E14" s="297">
        <f>INPUTS!D7</f>
        <v>22000</v>
      </c>
      <c r="F14" s="264"/>
      <c r="G14" s="170"/>
      <c r="H14" s="97"/>
      <c r="I14" s="97"/>
      <c r="J14" s="99"/>
      <c r="K14" s="99"/>
      <c r="L14" s="99"/>
      <c r="M14" s="99"/>
      <c r="N14" s="99"/>
      <c r="O14" s="99"/>
      <c r="P14" s="99"/>
      <c r="Q14" s="99"/>
      <c r="R14" s="99"/>
      <c r="S14" s="99"/>
      <c r="T14" s="99"/>
      <c r="U14" s="99"/>
      <c r="V14" s="99"/>
      <c r="W14" s="99"/>
    </row>
    <row r="15" spans="1:23" s="88" customFormat="1" ht="14.25" customHeight="1" x14ac:dyDescent="0.4">
      <c r="A15" s="95"/>
      <c r="B15" s="383" t="s">
        <v>180</v>
      </c>
      <c r="C15" s="384"/>
      <c r="D15" s="298">
        <f ca="1">IF(E14*E17/(D88*60)&lt;4,4,E14*E17/(D88*60))</f>
        <v>7.2847682119205297</v>
      </c>
      <c r="E15" s="299">
        <f ca="1">INPUTS!D28</f>
        <v>7.2847682119205297</v>
      </c>
      <c r="F15" s="264"/>
      <c r="G15" s="170"/>
      <c r="H15" s="97"/>
      <c r="I15" s="97"/>
      <c r="J15" s="99"/>
      <c r="K15" s="99"/>
      <c r="L15" s="99"/>
      <c r="M15" s="99"/>
      <c r="N15" s="99"/>
      <c r="O15" s="99"/>
      <c r="P15" s="99"/>
      <c r="Q15" s="99"/>
      <c r="R15" s="99"/>
      <c r="S15" s="99"/>
      <c r="T15" s="99"/>
      <c r="U15" s="99"/>
      <c r="V15" s="99"/>
      <c r="W15" s="99"/>
    </row>
    <row r="16" spans="1:23" s="88" customFormat="1" ht="14.25" customHeight="1" x14ac:dyDescent="0.4">
      <c r="A16" s="95"/>
      <c r="B16" s="383" t="s">
        <v>181</v>
      </c>
      <c r="C16" s="384"/>
      <c r="D16" s="298" t="str">
        <f ca="1">IF(D93&gt;C113,C109,OFFSET(B113,-4,MATCH(D93,C113:G113,-1)))</f>
        <v>0.72 hhp (1-1.4 HP)</v>
      </c>
      <c r="E16" s="298" t="str">
        <f ca="1">IF(OFFSET(F116,G116,0)="Default",D16,OFFSET(F116,G116,0))</f>
        <v>0.72 hhp (1-1.4 HP)</v>
      </c>
      <c r="F16" s="264"/>
      <c r="G16" s="170"/>
      <c r="H16" s="97"/>
      <c r="I16" s="97"/>
      <c r="J16" s="99"/>
      <c r="K16" s="99"/>
      <c r="L16" s="99"/>
      <c r="M16" s="99"/>
      <c r="N16" s="99"/>
      <c r="O16" s="99"/>
      <c r="P16" s="99"/>
      <c r="Q16" s="99"/>
      <c r="R16" s="99"/>
      <c r="S16" s="99"/>
      <c r="T16" s="99"/>
      <c r="U16" s="99"/>
      <c r="V16" s="99"/>
      <c r="W16" s="99"/>
    </row>
    <row r="17" spans="1:23" s="88" customFormat="1" ht="14.25" customHeight="1" x14ac:dyDescent="0.4">
      <c r="A17" s="95"/>
      <c r="B17" s="300" t="s">
        <v>234</v>
      </c>
      <c r="C17" s="301"/>
      <c r="D17" s="299">
        <f>IF(G22="Warm",1,IF(G22="Cool",2,1.5))</f>
        <v>1.5</v>
      </c>
      <c r="E17" s="299">
        <f>INPUTS!D30</f>
        <v>1.5</v>
      </c>
      <c r="F17" s="264"/>
      <c r="G17" s="170"/>
      <c r="H17" s="97"/>
      <c r="I17" s="97"/>
      <c r="J17" s="99"/>
      <c r="K17" s="99"/>
      <c r="L17" s="99"/>
      <c r="M17" s="99"/>
      <c r="N17" s="99"/>
      <c r="O17" s="99"/>
      <c r="P17" s="99"/>
      <c r="Q17" s="99"/>
      <c r="R17" s="99"/>
      <c r="S17" s="99"/>
      <c r="T17" s="99"/>
      <c r="U17" s="99"/>
      <c r="V17" s="99"/>
      <c r="W17" s="99"/>
    </row>
    <row r="18" spans="1:23" s="88" customFormat="1" ht="14.25" customHeight="1" x14ac:dyDescent="0.4">
      <c r="A18" s="95"/>
      <c r="B18" s="302" t="s">
        <v>233</v>
      </c>
      <c r="C18" s="301"/>
      <c r="D18" s="299">
        <f ca="1">IF(D15=E15,D17,(E15*60*D88)/E14)</f>
        <v>1.5</v>
      </c>
      <c r="E18" s="299">
        <f ca="1">INPUTS!H30</f>
        <v>1.5</v>
      </c>
      <c r="F18" s="264"/>
      <c r="G18" s="170"/>
      <c r="H18" s="97"/>
      <c r="I18" s="97"/>
      <c r="J18" s="99"/>
      <c r="K18" s="99"/>
      <c r="L18" s="99"/>
      <c r="M18" s="99"/>
      <c r="N18" s="99"/>
      <c r="O18" s="99"/>
      <c r="P18" s="99"/>
      <c r="Q18" s="99"/>
      <c r="R18" s="99"/>
      <c r="S18" s="99"/>
      <c r="T18" s="99"/>
      <c r="U18" s="99"/>
      <c r="V18" s="99"/>
      <c r="W18" s="99"/>
    </row>
    <row r="19" spans="1:23" s="88" customFormat="1" ht="14.25" customHeight="1" x14ac:dyDescent="0.4">
      <c r="A19" s="95"/>
      <c r="B19" s="383" t="s">
        <v>186</v>
      </c>
      <c r="C19" s="384"/>
      <c r="D19" s="303">
        <f>431.96</f>
        <v>431.96</v>
      </c>
      <c r="E19" s="303">
        <f>INPUTS!H31</f>
        <v>432</v>
      </c>
      <c r="F19" s="265"/>
      <c r="G19" s="170"/>
      <c r="H19" s="97"/>
      <c r="I19" s="97"/>
      <c r="J19" s="99"/>
      <c r="K19" s="99"/>
      <c r="L19" s="99"/>
      <c r="M19" s="99"/>
      <c r="N19" s="99"/>
      <c r="O19" s="99"/>
      <c r="P19" s="99"/>
      <c r="Q19" s="99"/>
      <c r="R19" s="99"/>
      <c r="S19" s="99"/>
      <c r="T19" s="99"/>
      <c r="U19" s="99"/>
      <c r="V19" s="99"/>
      <c r="W19" s="99"/>
    </row>
    <row r="20" spans="1:23" s="93" customFormat="1" ht="29.25" customHeight="1" x14ac:dyDescent="0.4">
      <c r="A20" s="37"/>
      <c r="B20" s="53"/>
      <c r="C20" s="53"/>
      <c r="D20" s="53"/>
      <c r="G20" s="94"/>
    </row>
    <row r="21" spans="1:23" ht="14.25" customHeight="1" x14ac:dyDescent="0.4">
      <c r="A21" s="37" t="s">
        <v>252</v>
      </c>
      <c r="B21" s="21"/>
      <c r="C21" s="22"/>
      <c r="D21" s="22"/>
      <c r="E21" s="23"/>
      <c r="F21" s="23"/>
      <c r="G21" s="38"/>
      <c r="H21" s="89"/>
      <c r="I21" s="124"/>
      <c r="J21" s="124"/>
      <c r="K21" s="124"/>
      <c r="L21" s="124"/>
      <c r="M21" s="124"/>
      <c r="N21" s="123"/>
      <c r="O21" s="123"/>
      <c r="P21" s="123"/>
      <c r="Q21" s="123"/>
      <c r="R21" s="123"/>
      <c r="S21" s="123"/>
      <c r="T21" s="123"/>
      <c r="U21" s="123"/>
      <c r="V21" s="123"/>
      <c r="W21" s="123"/>
    </row>
    <row r="22" spans="1:23" ht="14.25" customHeight="1" x14ac:dyDescent="0.4">
      <c r="A22" s="25"/>
      <c r="B22" s="244" t="s">
        <v>35</v>
      </c>
      <c r="C22" s="245">
        <v>1</v>
      </c>
      <c r="D22" s="246" t="str">
        <f>VLOOKUP(C22,A23:B75,2)</f>
        <v>U.S. average</v>
      </c>
      <c r="E22" s="247">
        <f>VLOOKUP(C22,A23:D75,4,FALSE)</f>
        <v>0.1237</v>
      </c>
      <c r="F22" s="246" t="str">
        <f ca="1">OFFSET(B23,C22,4)</f>
        <v>Average</v>
      </c>
      <c r="G22" s="286" t="str">
        <f>VLOOKUP(C22,A23:E75,5,FALSE)</f>
        <v>Average</v>
      </c>
      <c r="H22" s="89"/>
      <c r="I22" s="124"/>
      <c r="J22" s="124"/>
      <c r="K22" s="124"/>
      <c r="L22" s="124"/>
      <c r="M22" s="124"/>
      <c r="N22" s="123"/>
      <c r="O22" s="123"/>
      <c r="P22" s="123"/>
      <c r="Q22" s="123"/>
      <c r="R22" s="123"/>
      <c r="S22" s="123"/>
      <c r="T22" s="123"/>
      <c r="U22" s="123"/>
      <c r="V22" s="123"/>
      <c r="W22" s="123"/>
    </row>
    <row r="23" spans="1:23" ht="14.25" customHeight="1" x14ac:dyDescent="0.4">
      <c r="A23" s="20"/>
      <c r="B23" s="248" t="s">
        <v>36</v>
      </c>
      <c r="C23" s="249" t="s">
        <v>37</v>
      </c>
      <c r="D23" s="250" t="s">
        <v>38</v>
      </c>
      <c r="E23" s="250" t="s">
        <v>34</v>
      </c>
      <c r="F23" s="250" t="s">
        <v>185</v>
      </c>
      <c r="G23" s="219"/>
      <c r="H23" s="89"/>
      <c r="I23" s="124"/>
      <c r="J23" s="124"/>
      <c r="K23" s="124"/>
      <c r="L23" s="124"/>
      <c r="M23" s="124"/>
      <c r="N23" s="123"/>
      <c r="O23" s="123"/>
      <c r="P23" s="123"/>
      <c r="Q23" s="123"/>
      <c r="R23" s="123"/>
      <c r="S23" s="123"/>
      <c r="T23" s="123"/>
      <c r="U23" s="123"/>
      <c r="V23" s="123"/>
      <c r="W23" s="123"/>
    </row>
    <row r="24" spans="1:23" ht="14.25" customHeight="1" x14ac:dyDescent="0.4">
      <c r="A24" s="27">
        <v>1</v>
      </c>
      <c r="B24" s="251" t="s">
        <v>39</v>
      </c>
      <c r="C24" s="252">
        <v>0.1046</v>
      </c>
      <c r="D24" s="252">
        <v>0.1237</v>
      </c>
      <c r="E24" s="253" t="s">
        <v>111</v>
      </c>
      <c r="F24" s="253" t="s">
        <v>111</v>
      </c>
      <c r="G24" s="219"/>
      <c r="H24" s="89"/>
      <c r="I24" s="124"/>
      <c r="J24" s="124"/>
      <c r="K24" s="124"/>
      <c r="L24" s="124"/>
      <c r="M24" s="124"/>
      <c r="N24" s="123"/>
      <c r="O24" s="123"/>
      <c r="P24" s="123"/>
      <c r="Q24" s="123"/>
      <c r="R24" s="123"/>
      <c r="S24" s="123"/>
      <c r="T24" s="123"/>
      <c r="U24" s="123"/>
      <c r="V24" s="123"/>
      <c r="W24" s="123"/>
    </row>
    <row r="25" spans="1:23" ht="14.25" customHeight="1" x14ac:dyDescent="0.4">
      <c r="A25" s="27">
        <f t="shared" ref="A25:A56" si="0">A24+1</f>
        <v>2</v>
      </c>
      <c r="B25" s="251" t="s">
        <v>41</v>
      </c>
      <c r="C25" s="252">
        <v>0.1158</v>
      </c>
      <c r="D25" s="252">
        <v>0.1273</v>
      </c>
      <c r="E25" s="253" t="s">
        <v>40</v>
      </c>
      <c r="F25" s="253">
        <v>12</v>
      </c>
      <c r="G25" s="219"/>
      <c r="H25" s="89"/>
      <c r="I25" s="124"/>
      <c r="J25" s="124"/>
      <c r="K25" s="124"/>
      <c r="L25" s="124"/>
      <c r="M25" s="124"/>
      <c r="N25" s="123"/>
      <c r="O25" s="123"/>
      <c r="P25" s="123"/>
      <c r="Q25" s="123"/>
      <c r="R25" s="123"/>
      <c r="S25" s="123"/>
      <c r="T25" s="123"/>
      <c r="U25" s="123"/>
      <c r="V25" s="123"/>
      <c r="W25" s="123"/>
    </row>
    <row r="26" spans="1:23" ht="14.25" customHeight="1" x14ac:dyDescent="0.4">
      <c r="A26" s="27">
        <f t="shared" si="0"/>
        <v>3</v>
      </c>
      <c r="B26" s="251" t="s">
        <v>42</v>
      </c>
      <c r="C26" s="252">
        <v>0.20030000000000001</v>
      </c>
      <c r="D26" s="252">
        <v>0.22839999999999999</v>
      </c>
      <c r="E26" s="253" t="s">
        <v>43</v>
      </c>
      <c r="F26" s="253">
        <v>5</v>
      </c>
      <c r="G26" s="26"/>
      <c r="H26" s="89"/>
      <c r="I26" s="124"/>
      <c r="J26" s="124"/>
      <c r="K26" s="124"/>
      <c r="L26" s="124"/>
      <c r="M26" s="124"/>
      <c r="N26" s="123"/>
      <c r="O26" s="123"/>
      <c r="P26" s="123"/>
      <c r="Q26" s="123"/>
      <c r="R26" s="123"/>
      <c r="S26" s="123"/>
      <c r="T26" s="123"/>
      <c r="U26" s="123"/>
      <c r="V26" s="123"/>
      <c r="W26" s="123"/>
    </row>
    <row r="27" spans="1:23" ht="14.25" customHeight="1" x14ac:dyDescent="0.4">
      <c r="A27" s="27">
        <f t="shared" si="0"/>
        <v>4</v>
      </c>
      <c r="B27" s="251" t="s">
        <v>44</v>
      </c>
      <c r="C27" s="252">
        <v>0.10550000000000001</v>
      </c>
      <c r="D27" s="252">
        <v>0.12619999999999998</v>
      </c>
      <c r="E27" s="253" t="s">
        <v>40</v>
      </c>
      <c r="F27" s="253">
        <v>12</v>
      </c>
      <c r="G27" s="26"/>
      <c r="H27" s="89"/>
      <c r="I27" s="124"/>
      <c r="J27" s="124"/>
      <c r="K27" s="124"/>
      <c r="L27" s="124"/>
      <c r="M27" s="124"/>
      <c r="N27" s="123"/>
      <c r="O27" s="123"/>
      <c r="P27" s="123"/>
      <c r="Q27" s="123"/>
      <c r="R27" s="123"/>
      <c r="S27" s="123"/>
      <c r="T27" s="123"/>
      <c r="U27" s="123"/>
      <c r="V27" s="123"/>
      <c r="W27" s="123"/>
    </row>
    <row r="28" spans="1:23" ht="14.25" customHeight="1" x14ac:dyDescent="0.4">
      <c r="A28" s="27">
        <f t="shared" si="0"/>
        <v>5</v>
      </c>
      <c r="B28" s="251" t="s">
        <v>45</v>
      </c>
      <c r="C28" s="252">
        <v>8.6999999999999994E-2</v>
      </c>
      <c r="D28" s="252">
        <v>9.8900000000000002E-2</v>
      </c>
      <c r="E28" s="253" t="s">
        <v>40</v>
      </c>
      <c r="F28" s="253">
        <v>12</v>
      </c>
      <c r="G28" s="26"/>
      <c r="H28" s="89"/>
      <c r="I28" s="124"/>
      <c r="J28" s="124"/>
      <c r="K28" s="124"/>
      <c r="L28" s="124"/>
      <c r="M28" s="124"/>
      <c r="N28" s="123"/>
      <c r="O28" s="123"/>
      <c r="P28" s="123"/>
      <c r="Q28" s="123"/>
      <c r="R28" s="123"/>
      <c r="S28" s="123"/>
      <c r="T28" s="123"/>
      <c r="U28" s="123"/>
      <c r="V28" s="123"/>
      <c r="W28" s="123"/>
    </row>
    <row r="29" spans="1:23" ht="14.25" customHeight="1" x14ac:dyDescent="0.4">
      <c r="A29" s="27">
        <f t="shared" si="0"/>
        <v>6</v>
      </c>
      <c r="B29" s="251" t="s">
        <v>46</v>
      </c>
      <c r="C29" s="252">
        <v>0.1691</v>
      </c>
      <c r="D29" s="252">
        <v>0.19600000000000001</v>
      </c>
      <c r="E29" s="253" t="s">
        <v>40</v>
      </c>
      <c r="F29" s="253">
        <v>12</v>
      </c>
      <c r="G29" s="26"/>
      <c r="H29" s="89"/>
      <c r="I29" s="124"/>
      <c r="J29" s="124"/>
      <c r="K29" s="124"/>
      <c r="L29" s="124"/>
      <c r="M29" s="124"/>
      <c r="N29" s="123"/>
      <c r="O29" s="123"/>
      <c r="P29" s="123"/>
      <c r="Q29" s="123"/>
      <c r="R29" s="123"/>
      <c r="S29" s="123"/>
      <c r="T29" s="123"/>
      <c r="U29" s="123"/>
      <c r="V29" s="123"/>
      <c r="W29" s="123"/>
    </row>
    <row r="30" spans="1:23" ht="14.25" customHeight="1" x14ac:dyDescent="0.4">
      <c r="A30" s="27">
        <f t="shared" si="0"/>
        <v>7</v>
      </c>
      <c r="B30" s="251" t="s">
        <v>47</v>
      </c>
      <c r="C30" s="252">
        <v>0.10349999999999999</v>
      </c>
      <c r="D30" s="252">
        <v>0.124</v>
      </c>
      <c r="E30" s="253" t="s">
        <v>40</v>
      </c>
      <c r="F30" s="253">
        <v>4</v>
      </c>
      <c r="G30" s="26"/>
      <c r="H30" s="89"/>
      <c r="I30" s="124"/>
      <c r="J30" s="124"/>
      <c r="K30" s="124"/>
      <c r="L30" s="124"/>
      <c r="M30" s="124"/>
      <c r="N30" s="123"/>
      <c r="O30" s="123"/>
      <c r="P30" s="123"/>
      <c r="Q30" s="123"/>
      <c r="R30" s="123"/>
      <c r="S30" s="123"/>
      <c r="T30" s="123"/>
      <c r="U30" s="123"/>
      <c r="V30" s="123"/>
      <c r="W30" s="123"/>
    </row>
    <row r="31" spans="1:23" ht="14.25" customHeight="1" x14ac:dyDescent="0.4">
      <c r="A31" s="27">
        <f t="shared" si="0"/>
        <v>8</v>
      </c>
      <c r="B31" s="251" t="s">
        <v>48</v>
      </c>
      <c r="C31" s="252">
        <v>0.17059999999999997</v>
      </c>
      <c r="D31" s="252">
        <v>0.2213</v>
      </c>
      <c r="E31" s="253" t="s">
        <v>43</v>
      </c>
      <c r="F31" s="253">
        <v>4</v>
      </c>
      <c r="G31" s="26"/>
      <c r="H31" s="89"/>
    </row>
    <row r="32" spans="1:23" ht="14.25" customHeight="1" x14ac:dyDescent="0.4">
      <c r="A32" s="27">
        <f t="shared" si="0"/>
        <v>9</v>
      </c>
      <c r="B32" s="251" t="s">
        <v>49</v>
      </c>
      <c r="C32" s="252">
        <v>9.6300000000000011E-2</v>
      </c>
      <c r="D32" s="252">
        <v>0.12560000000000002</v>
      </c>
      <c r="E32" s="253" t="s">
        <v>43</v>
      </c>
      <c r="F32" s="253">
        <v>5</v>
      </c>
      <c r="G32" s="26"/>
      <c r="H32" s="89"/>
    </row>
    <row r="33" spans="1:8" ht="14.25" customHeight="1" x14ac:dyDescent="0.4">
      <c r="A33" s="27">
        <f t="shared" si="0"/>
        <v>10</v>
      </c>
      <c r="B33" s="251" t="s">
        <v>50</v>
      </c>
      <c r="C33" s="252">
        <v>0.12029999999999999</v>
      </c>
      <c r="D33" s="252">
        <v>0.12920000000000001</v>
      </c>
      <c r="E33" s="253" t="s">
        <v>43</v>
      </c>
      <c r="F33" s="253">
        <v>5</v>
      </c>
      <c r="G33" s="26"/>
      <c r="H33" s="89"/>
    </row>
    <row r="34" spans="1:8" ht="14.25" customHeight="1" x14ac:dyDescent="0.4">
      <c r="A34" s="27">
        <f t="shared" si="0"/>
        <v>11</v>
      </c>
      <c r="B34" s="251" t="s">
        <v>51</v>
      </c>
      <c r="C34" s="252">
        <v>9.4899999999999998E-2</v>
      </c>
      <c r="D34" s="252">
        <v>0.1193</v>
      </c>
      <c r="E34" s="253" t="s">
        <v>40</v>
      </c>
      <c r="F34" s="253">
        <v>12</v>
      </c>
      <c r="G34" s="26"/>
      <c r="H34" s="89"/>
    </row>
    <row r="35" spans="1:8" ht="14.25" customHeight="1" x14ac:dyDescent="0.4">
      <c r="A35" s="27">
        <f t="shared" si="0"/>
        <v>12</v>
      </c>
      <c r="B35" s="251" t="s">
        <v>52</v>
      </c>
      <c r="C35" s="252">
        <v>9.7699999999999995E-2</v>
      </c>
      <c r="D35" s="252">
        <v>0.11749999999999999</v>
      </c>
      <c r="E35" s="253" t="s">
        <v>40</v>
      </c>
      <c r="F35" s="253">
        <v>7</v>
      </c>
      <c r="G35" s="26"/>
      <c r="H35" s="89"/>
    </row>
    <row r="36" spans="1:8" ht="14.25" customHeight="1" x14ac:dyDescent="0.4">
      <c r="A36" s="27">
        <f t="shared" si="0"/>
        <v>13</v>
      </c>
      <c r="B36" s="251" t="s">
        <v>53</v>
      </c>
      <c r="C36" s="252">
        <v>0.29849999999999999</v>
      </c>
      <c r="D36" s="252">
        <v>0.32469999999999999</v>
      </c>
      <c r="E36" s="253" t="s">
        <v>40</v>
      </c>
      <c r="F36" s="253">
        <v>12</v>
      </c>
      <c r="G36" s="26"/>
      <c r="H36" s="89"/>
    </row>
    <row r="37" spans="1:8" ht="14.25" customHeight="1" x14ac:dyDescent="0.4">
      <c r="A37" s="27">
        <f t="shared" si="0"/>
        <v>14</v>
      </c>
      <c r="B37" s="251" t="s">
        <v>54</v>
      </c>
      <c r="C37" s="252">
        <v>7.7399999999999997E-2</v>
      </c>
      <c r="D37" s="252">
        <v>0.1</v>
      </c>
      <c r="E37" s="253" t="s">
        <v>43</v>
      </c>
      <c r="F37" s="253">
        <v>4</v>
      </c>
      <c r="G37" s="26"/>
      <c r="H37" s="89"/>
    </row>
    <row r="38" spans="1:8" ht="14.25" customHeight="1" x14ac:dyDescent="0.4">
      <c r="A38" s="27">
        <f t="shared" si="0"/>
        <v>15</v>
      </c>
      <c r="B38" s="251" t="s">
        <v>55</v>
      </c>
      <c r="C38" s="252">
        <v>8.9499999999999996E-2</v>
      </c>
      <c r="D38" s="252">
        <v>0.1275</v>
      </c>
      <c r="E38" s="253" t="s">
        <v>43</v>
      </c>
      <c r="F38" s="253">
        <v>4</v>
      </c>
      <c r="G38" s="26"/>
      <c r="H38" s="89"/>
    </row>
    <row r="39" spans="1:8" ht="14.25" customHeight="1" x14ac:dyDescent="0.4">
      <c r="A39" s="27">
        <f t="shared" si="0"/>
        <v>16</v>
      </c>
      <c r="B39" s="251" t="s">
        <v>56</v>
      </c>
      <c r="C39" s="252">
        <v>0.10779999999999999</v>
      </c>
      <c r="D39" s="252">
        <v>0.12330000000000001</v>
      </c>
      <c r="E39" s="253" t="s">
        <v>43</v>
      </c>
      <c r="F39" s="253">
        <v>4</v>
      </c>
      <c r="G39" s="26"/>
      <c r="H39" s="89"/>
    </row>
    <row r="40" spans="1:8" ht="14.25" customHeight="1" x14ac:dyDescent="0.4">
      <c r="A40" s="27">
        <f t="shared" si="0"/>
        <v>17</v>
      </c>
      <c r="B40" s="251" t="s">
        <v>57</v>
      </c>
      <c r="C40" s="252">
        <v>0.10529999999999999</v>
      </c>
      <c r="D40" s="252">
        <v>0.1318</v>
      </c>
      <c r="E40" s="253" t="s">
        <v>43</v>
      </c>
      <c r="F40" s="253">
        <v>4</v>
      </c>
      <c r="G40" s="26"/>
      <c r="H40" s="89"/>
    </row>
    <row r="41" spans="1:8" ht="14.25" customHeight="1" x14ac:dyDescent="0.4">
      <c r="A41" s="27">
        <f t="shared" si="0"/>
        <v>18</v>
      </c>
      <c r="B41" s="251" t="s">
        <v>58</v>
      </c>
      <c r="C41" s="252">
        <v>0.1023</v>
      </c>
      <c r="D41" s="252">
        <v>0.12689999999999999</v>
      </c>
      <c r="E41" s="253" t="s">
        <v>43</v>
      </c>
      <c r="F41" s="253">
        <v>4</v>
      </c>
      <c r="G41" s="26"/>
      <c r="H41" s="89"/>
    </row>
    <row r="42" spans="1:8" ht="14.25" customHeight="1" x14ac:dyDescent="0.4">
      <c r="A42" s="27">
        <f t="shared" si="0"/>
        <v>19</v>
      </c>
      <c r="B42" s="251" t="s">
        <v>59</v>
      </c>
      <c r="C42" s="252">
        <v>9.9199999999999997E-2</v>
      </c>
      <c r="D42" s="252">
        <v>0.10619999999999999</v>
      </c>
      <c r="E42" s="253" t="s">
        <v>43</v>
      </c>
      <c r="F42" s="253">
        <v>12</v>
      </c>
      <c r="G42" s="26"/>
      <c r="H42" s="89"/>
    </row>
    <row r="43" spans="1:8" ht="14.25" customHeight="1" x14ac:dyDescent="0.4">
      <c r="A43" s="27">
        <f t="shared" si="0"/>
        <v>20</v>
      </c>
      <c r="B43" s="251" t="s">
        <v>60</v>
      </c>
      <c r="C43" s="252">
        <v>8.77E-2</v>
      </c>
      <c r="D43" s="252">
        <v>9.5399999999999985E-2</v>
      </c>
      <c r="E43" s="253" t="s">
        <v>40</v>
      </c>
      <c r="F43" s="253">
        <v>12</v>
      </c>
      <c r="G43" s="26"/>
      <c r="H43" s="89"/>
    </row>
    <row r="44" spans="1:8" ht="14.25" customHeight="1" x14ac:dyDescent="0.4">
      <c r="A44" s="27">
        <f t="shared" si="0"/>
        <v>21</v>
      </c>
      <c r="B44" s="251" t="s">
        <v>61</v>
      </c>
      <c r="C44" s="252">
        <v>0.1285</v>
      </c>
      <c r="D44" s="252">
        <v>0.1787</v>
      </c>
      <c r="E44" s="253" t="s">
        <v>43</v>
      </c>
      <c r="F44" s="253">
        <v>4</v>
      </c>
      <c r="G44" s="26"/>
      <c r="H44" s="89"/>
    </row>
    <row r="45" spans="1:8" ht="14.25" customHeight="1" x14ac:dyDescent="0.4">
      <c r="A45" s="27">
        <f t="shared" si="0"/>
        <v>22</v>
      </c>
      <c r="B45" s="251" t="s">
        <v>62</v>
      </c>
      <c r="C45" s="252">
        <v>0.1002</v>
      </c>
      <c r="D45" s="252">
        <v>0.13119999999999998</v>
      </c>
      <c r="E45" s="253" t="s">
        <v>43</v>
      </c>
      <c r="F45" s="253">
        <v>5</v>
      </c>
      <c r="G45" s="26"/>
      <c r="H45" s="89"/>
    </row>
    <row r="46" spans="1:8" ht="14.25" customHeight="1" x14ac:dyDescent="0.4">
      <c r="A46" s="27">
        <f t="shared" si="0"/>
        <v>23</v>
      </c>
      <c r="B46" s="251" t="s">
        <v>63</v>
      </c>
      <c r="C46" s="252">
        <v>0.16600000000000001</v>
      </c>
      <c r="D46" s="252">
        <v>0.22109999999999999</v>
      </c>
      <c r="E46" s="253" t="s">
        <v>43</v>
      </c>
      <c r="F46" s="253">
        <v>4</v>
      </c>
      <c r="G46" s="26"/>
      <c r="H46" s="89"/>
    </row>
    <row r="47" spans="1:8" ht="14.25" customHeight="1" x14ac:dyDescent="0.4">
      <c r="A47" s="27">
        <f t="shared" si="0"/>
        <v>24</v>
      </c>
      <c r="B47" s="251" t="s">
        <v>64</v>
      </c>
      <c r="C47" s="252">
        <v>0.1139</v>
      </c>
      <c r="D47" s="252">
        <v>0.15789999999999998</v>
      </c>
      <c r="E47" s="253" t="s">
        <v>43</v>
      </c>
      <c r="F47" s="253">
        <v>4</v>
      </c>
      <c r="G47" s="26"/>
      <c r="H47" s="89"/>
    </row>
    <row r="48" spans="1:8" ht="14.25" customHeight="1" x14ac:dyDescent="0.4">
      <c r="A48" s="27">
        <f t="shared" si="0"/>
        <v>25</v>
      </c>
      <c r="B48" s="251" t="s">
        <v>65</v>
      </c>
      <c r="C48" s="252">
        <v>0.10679999999999999</v>
      </c>
      <c r="D48" s="252">
        <v>0.1343</v>
      </c>
      <c r="E48" s="253" t="s">
        <v>43</v>
      </c>
      <c r="F48" s="253">
        <v>4</v>
      </c>
      <c r="G48" s="26"/>
      <c r="H48" s="89"/>
    </row>
    <row r="49" spans="1:8" ht="14.25" customHeight="1" x14ac:dyDescent="0.4">
      <c r="A49" s="27">
        <f t="shared" si="0"/>
        <v>26</v>
      </c>
      <c r="B49" s="251" t="s">
        <v>66</v>
      </c>
      <c r="C49" s="252">
        <v>0.10490000000000001</v>
      </c>
      <c r="D49" s="252">
        <v>0.1133</v>
      </c>
      <c r="E49" s="253" t="s">
        <v>40</v>
      </c>
      <c r="F49" s="253">
        <v>12</v>
      </c>
      <c r="G49" s="26"/>
      <c r="H49" s="89"/>
    </row>
    <row r="50" spans="1:8" ht="14.25" customHeight="1" x14ac:dyDescent="0.4">
      <c r="A50" s="27">
        <f t="shared" si="0"/>
        <v>27</v>
      </c>
      <c r="B50" s="251" t="s">
        <v>67</v>
      </c>
      <c r="C50" s="252">
        <v>9.1600000000000001E-2</v>
      </c>
      <c r="D50" s="252">
        <v>0.11109999999999999</v>
      </c>
      <c r="E50" s="253" t="s">
        <v>43</v>
      </c>
      <c r="F50" s="253">
        <v>4</v>
      </c>
      <c r="G50" s="26"/>
      <c r="H50" s="89"/>
    </row>
    <row r="51" spans="1:8" ht="14.25" customHeight="1" x14ac:dyDescent="0.4">
      <c r="A51" s="27">
        <f t="shared" si="0"/>
        <v>28</v>
      </c>
      <c r="B51" s="251" t="s">
        <v>68</v>
      </c>
      <c r="C51" s="252">
        <v>0.1041</v>
      </c>
      <c r="D51" s="252">
        <v>0.11359999999999999</v>
      </c>
      <c r="E51" s="253" t="s">
        <v>43</v>
      </c>
      <c r="F51" s="253">
        <v>4</v>
      </c>
      <c r="G51" s="26"/>
      <c r="H51" s="89"/>
    </row>
    <row r="52" spans="1:8" ht="14.25" customHeight="1" x14ac:dyDescent="0.4">
      <c r="A52" s="27">
        <f t="shared" si="0"/>
        <v>29</v>
      </c>
      <c r="B52" s="251" t="s">
        <v>69</v>
      </c>
      <c r="C52" s="252">
        <v>9.0700000000000003E-2</v>
      </c>
      <c r="D52" s="252">
        <v>0.1096</v>
      </c>
      <c r="E52" s="253" t="s">
        <v>43</v>
      </c>
      <c r="F52" s="253">
        <v>4</v>
      </c>
      <c r="G52" s="26"/>
      <c r="H52" s="89"/>
    </row>
    <row r="53" spans="1:8" ht="14.25" customHeight="1" x14ac:dyDescent="0.4">
      <c r="A53" s="27">
        <f t="shared" si="0"/>
        <v>30</v>
      </c>
      <c r="B53" s="251" t="s">
        <v>70</v>
      </c>
      <c r="C53" s="252">
        <v>8.0399999999999985E-2</v>
      </c>
      <c r="D53" s="252">
        <v>0.1198</v>
      </c>
      <c r="E53" s="253" t="s">
        <v>40</v>
      </c>
      <c r="F53" s="253">
        <v>12</v>
      </c>
      <c r="G53" s="26"/>
      <c r="H53" s="89"/>
    </row>
    <row r="54" spans="1:8" ht="14.25" customHeight="1" x14ac:dyDescent="0.4">
      <c r="A54" s="27">
        <f t="shared" si="0"/>
        <v>31</v>
      </c>
      <c r="B54" s="251" t="s">
        <v>71</v>
      </c>
      <c r="C54" s="252">
        <v>0.1598</v>
      </c>
      <c r="D54" s="252">
        <v>0.20069999999999999</v>
      </c>
      <c r="E54" s="253" t="s">
        <v>43</v>
      </c>
      <c r="F54" s="253">
        <v>4</v>
      </c>
      <c r="G54" s="26"/>
      <c r="H54" s="89"/>
    </row>
    <row r="55" spans="1:8" ht="14.25" customHeight="1" x14ac:dyDescent="0.4">
      <c r="A55" s="27">
        <f t="shared" si="0"/>
        <v>32</v>
      </c>
      <c r="B55" s="251" t="s">
        <v>72</v>
      </c>
      <c r="C55" s="252">
        <v>0.12470000000000001</v>
      </c>
      <c r="D55" s="252">
        <v>0.16010000000000002</v>
      </c>
      <c r="E55" s="253" t="s">
        <v>43</v>
      </c>
      <c r="F55" s="253">
        <v>4</v>
      </c>
      <c r="G55" s="26"/>
      <c r="H55" s="89"/>
    </row>
    <row r="56" spans="1:8" ht="14.25" customHeight="1" x14ac:dyDescent="0.4">
      <c r="A56" s="27">
        <f t="shared" si="0"/>
        <v>33</v>
      </c>
      <c r="B56" s="251" t="s">
        <v>73</v>
      </c>
      <c r="C56" s="252">
        <v>9.9700000000000011E-2</v>
      </c>
      <c r="D56" s="252">
        <v>0.127</v>
      </c>
      <c r="E56" s="253" t="s">
        <v>40</v>
      </c>
      <c r="F56" s="253">
        <v>12</v>
      </c>
      <c r="G56" s="26"/>
      <c r="H56" s="89"/>
    </row>
    <row r="57" spans="1:8" ht="14.25" customHeight="1" x14ac:dyDescent="0.4">
      <c r="A57" s="27">
        <f t="shared" ref="A57:A75" si="1">A56+1</f>
        <v>34</v>
      </c>
      <c r="B57" s="251" t="s">
        <v>74</v>
      </c>
      <c r="C57" s="252">
        <v>0.14119999999999999</v>
      </c>
      <c r="D57" s="252">
        <v>0.17949999999999999</v>
      </c>
      <c r="E57" s="253" t="s">
        <v>43</v>
      </c>
      <c r="F57" s="253">
        <v>4</v>
      </c>
      <c r="G57" s="26"/>
      <c r="H57" s="89"/>
    </row>
    <row r="58" spans="1:8" ht="14.25" customHeight="1" x14ac:dyDescent="0.4">
      <c r="A58" s="27">
        <f t="shared" si="1"/>
        <v>35</v>
      </c>
      <c r="B58" s="251" t="s">
        <v>75</v>
      </c>
      <c r="C58" s="252">
        <v>8.8399999999999992E-2</v>
      </c>
      <c r="D58" s="252">
        <v>0.1159</v>
      </c>
      <c r="E58" s="253" t="s">
        <v>40</v>
      </c>
      <c r="F58" s="253">
        <v>7</v>
      </c>
      <c r="G58" s="26"/>
      <c r="H58" s="89"/>
    </row>
    <row r="59" spans="1:8" ht="14.25" customHeight="1" x14ac:dyDescent="0.4">
      <c r="A59" s="27">
        <f t="shared" si="1"/>
        <v>36</v>
      </c>
      <c r="B59" s="251" t="s">
        <v>76</v>
      </c>
      <c r="C59" s="252">
        <v>9.1400000000000009E-2</v>
      </c>
      <c r="D59" s="252">
        <v>0.106</v>
      </c>
      <c r="E59" s="253" t="s">
        <v>43</v>
      </c>
      <c r="F59" s="253">
        <v>4</v>
      </c>
      <c r="G59" s="26"/>
      <c r="H59" s="89"/>
    </row>
    <row r="60" spans="1:8" ht="14.25" customHeight="1" x14ac:dyDescent="0.4">
      <c r="A60" s="27">
        <f t="shared" si="1"/>
        <v>37</v>
      </c>
      <c r="B60" s="251" t="s">
        <v>77</v>
      </c>
      <c r="C60" s="252">
        <v>9.69E-2</v>
      </c>
      <c r="D60" s="252">
        <v>0.12279999999999999</v>
      </c>
      <c r="E60" s="253" t="s">
        <v>43</v>
      </c>
      <c r="F60" s="253">
        <v>4</v>
      </c>
      <c r="G60" s="26"/>
      <c r="H60" s="89"/>
    </row>
    <row r="61" spans="1:8" ht="14.25" customHeight="1" x14ac:dyDescent="0.4">
      <c r="A61" s="27">
        <f t="shared" si="1"/>
        <v>38</v>
      </c>
      <c r="B61" s="251" t="s">
        <v>78</v>
      </c>
      <c r="C61" s="252">
        <v>7.8799999999999995E-2</v>
      </c>
      <c r="D61" s="252">
        <v>0.10189999999999999</v>
      </c>
      <c r="E61" s="253" t="s">
        <v>40</v>
      </c>
      <c r="F61" s="253">
        <v>12</v>
      </c>
      <c r="G61" s="26"/>
      <c r="H61" s="89"/>
    </row>
    <row r="62" spans="1:8" ht="14.25" customHeight="1" x14ac:dyDescent="0.4">
      <c r="A62" s="27">
        <f t="shared" si="1"/>
        <v>39</v>
      </c>
      <c r="B62" s="251" t="s">
        <v>79</v>
      </c>
      <c r="C62" s="252">
        <v>8.8800000000000004E-2</v>
      </c>
      <c r="D62" s="252">
        <v>0.10980000000000001</v>
      </c>
      <c r="E62" s="253" t="s">
        <v>43</v>
      </c>
      <c r="F62" s="253">
        <v>3</v>
      </c>
      <c r="G62" s="26"/>
      <c r="H62" s="89"/>
    </row>
    <row r="63" spans="1:8" ht="14.25" customHeight="1" x14ac:dyDescent="0.4">
      <c r="A63" s="27">
        <f t="shared" si="1"/>
        <v>40</v>
      </c>
      <c r="B63" s="251" t="s">
        <v>80</v>
      </c>
      <c r="C63" s="252">
        <v>8.7100000000000011E-2</v>
      </c>
      <c r="D63" s="252">
        <v>0.13699999999999998</v>
      </c>
      <c r="E63" s="253" t="s">
        <v>43</v>
      </c>
      <c r="F63" s="253">
        <v>4</v>
      </c>
      <c r="G63" s="26"/>
      <c r="H63" s="89"/>
    </row>
    <row r="64" spans="1:8" ht="14.25" customHeight="1" x14ac:dyDescent="0.4">
      <c r="A64" s="27">
        <f t="shared" si="1"/>
        <v>41</v>
      </c>
      <c r="B64" s="251" t="s">
        <v>81</v>
      </c>
      <c r="C64" s="252">
        <v>0.1663</v>
      </c>
      <c r="D64" s="252">
        <v>0.21719999999999998</v>
      </c>
      <c r="E64" s="253" t="s">
        <v>43</v>
      </c>
      <c r="F64" s="253">
        <v>4</v>
      </c>
      <c r="G64" s="26"/>
      <c r="H64" s="89"/>
    </row>
    <row r="65" spans="1:8" ht="14.25" customHeight="1" x14ac:dyDescent="0.4">
      <c r="A65" s="27">
        <f t="shared" si="1"/>
        <v>42</v>
      </c>
      <c r="B65" s="251" t="s">
        <v>82</v>
      </c>
      <c r="C65" s="252">
        <v>0.10300000000000001</v>
      </c>
      <c r="D65" s="252">
        <v>0.12619999999999998</v>
      </c>
      <c r="E65" s="253" t="s">
        <v>40</v>
      </c>
      <c r="F65" s="253">
        <v>7</v>
      </c>
      <c r="G65" s="26"/>
      <c r="H65" s="89"/>
    </row>
    <row r="66" spans="1:8" ht="14.25" customHeight="1" x14ac:dyDescent="0.4">
      <c r="A66" s="27">
        <f t="shared" si="1"/>
        <v>43</v>
      </c>
      <c r="B66" s="251" t="s">
        <v>83</v>
      </c>
      <c r="C66" s="252">
        <v>9.4899999999999998E-2</v>
      </c>
      <c r="D66" s="252">
        <v>0.1162</v>
      </c>
      <c r="E66" s="253" t="s">
        <v>43</v>
      </c>
      <c r="F66" s="253">
        <v>4</v>
      </c>
      <c r="G66" s="26"/>
      <c r="H66" s="89"/>
    </row>
    <row r="67" spans="1:8" ht="14.25" customHeight="1" x14ac:dyDescent="0.4">
      <c r="A67" s="27">
        <f t="shared" si="1"/>
        <v>44</v>
      </c>
      <c r="B67" s="251" t="s">
        <v>84</v>
      </c>
      <c r="C67" s="252">
        <v>0.106</v>
      </c>
      <c r="D67" s="252">
        <v>0.10830000000000001</v>
      </c>
      <c r="E67" s="253" t="s">
        <v>40</v>
      </c>
      <c r="F67" s="253">
        <v>12</v>
      </c>
      <c r="G67" s="26"/>
      <c r="H67" s="89"/>
    </row>
    <row r="68" spans="1:8" ht="14.25" customHeight="1" x14ac:dyDescent="0.4">
      <c r="A68" s="27">
        <f t="shared" si="1"/>
        <v>45</v>
      </c>
      <c r="B68" s="251" t="s">
        <v>85</v>
      </c>
      <c r="C68" s="252">
        <v>8.0299999999999996E-2</v>
      </c>
      <c r="D68" s="252">
        <v>0.11800000000000001</v>
      </c>
      <c r="E68" s="253" t="s">
        <v>40</v>
      </c>
      <c r="F68" s="253">
        <v>12</v>
      </c>
      <c r="G68" s="26"/>
      <c r="H68" s="89"/>
    </row>
    <row r="69" spans="1:8" ht="14.25" customHeight="1" x14ac:dyDescent="0.4">
      <c r="A69" s="27">
        <f t="shared" si="1"/>
        <v>46</v>
      </c>
      <c r="B69" s="251" t="s">
        <v>86</v>
      </c>
      <c r="C69" s="252">
        <v>8.48E-2</v>
      </c>
      <c r="D69" s="252">
        <v>0.10630000000000001</v>
      </c>
      <c r="E69" s="253" t="s">
        <v>40</v>
      </c>
      <c r="F69" s="253">
        <v>4</v>
      </c>
      <c r="G69" s="26"/>
      <c r="H69" s="89"/>
    </row>
    <row r="70" spans="1:8" ht="14.25" customHeight="1" x14ac:dyDescent="0.4">
      <c r="A70" s="27">
        <f t="shared" si="1"/>
        <v>47</v>
      </c>
      <c r="B70" s="251" t="s">
        <v>87</v>
      </c>
      <c r="C70" s="252">
        <v>0.15920000000000001</v>
      </c>
      <c r="D70" s="252">
        <v>0.17019999999999999</v>
      </c>
      <c r="E70" s="253" t="s">
        <v>43</v>
      </c>
      <c r="F70" s="253">
        <v>4</v>
      </c>
      <c r="G70" s="26"/>
      <c r="H70" s="89"/>
    </row>
    <row r="71" spans="1:8" ht="14.25" customHeight="1" x14ac:dyDescent="0.4">
      <c r="A71" s="27">
        <f t="shared" si="1"/>
        <v>48</v>
      </c>
      <c r="B71" s="251" t="s">
        <v>88</v>
      </c>
      <c r="C71" s="252">
        <v>8.2200000000000009E-2</v>
      </c>
      <c r="D71" s="252">
        <v>0.1202</v>
      </c>
      <c r="E71" s="253" t="s">
        <v>40</v>
      </c>
      <c r="F71" s="253">
        <v>7</v>
      </c>
      <c r="G71" s="26"/>
      <c r="H71" s="89"/>
    </row>
    <row r="72" spans="1:8" ht="14.25" customHeight="1" x14ac:dyDescent="0.4">
      <c r="A72" s="27">
        <f t="shared" si="1"/>
        <v>49</v>
      </c>
      <c r="B72" s="251" t="s">
        <v>89</v>
      </c>
      <c r="C72" s="252">
        <v>8.7499999999999994E-2</v>
      </c>
      <c r="D72" s="252">
        <v>9.64E-2</v>
      </c>
      <c r="E72" s="253" t="s">
        <v>43</v>
      </c>
      <c r="F72" s="253">
        <v>3</v>
      </c>
      <c r="G72" s="26"/>
      <c r="H72" s="89"/>
    </row>
    <row r="73" spans="1:8" ht="14.25" customHeight="1" x14ac:dyDescent="0.4">
      <c r="A73" s="27">
        <f t="shared" si="1"/>
        <v>50</v>
      </c>
      <c r="B73" s="251" t="s">
        <v>90</v>
      </c>
      <c r="C73" s="252">
        <v>8.9499999999999996E-2</v>
      </c>
      <c r="D73" s="252">
        <v>0.111</v>
      </c>
      <c r="E73" s="253" t="s">
        <v>43</v>
      </c>
      <c r="F73" s="253">
        <v>5</v>
      </c>
      <c r="G73" s="26"/>
      <c r="H73" s="89"/>
    </row>
    <row r="74" spans="1:8" ht="14.25" customHeight="1" x14ac:dyDescent="0.4">
      <c r="A74" s="27">
        <f t="shared" si="1"/>
        <v>51</v>
      </c>
      <c r="B74" s="251" t="s">
        <v>91</v>
      </c>
      <c r="C74" s="252">
        <v>0.1108</v>
      </c>
      <c r="D74" s="252">
        <v>0.14630000000000001</v>
      </c>
      <c r="E74" s="253" t="s">
        <v>43</v>
      </c>
      <c r="F74" s="253">
        <v>4</v>
      </c>
      <c r="G74" s="26"/>
      <c r="H74" s="89"/>
    </row>
    <row r="75" spans="1:8" ht="14.25" customHeight="1" x14ac:dyDescent="0.4">
      <c r="A75" s="27">
        <f t="shared" si="1"/>
        <v>52</v>
      </c>
      <c r="B75" s="251" t="s">
        <v>92</v>
      </c>
      <c r="C75" s="252">
        <v>9.7200000000000009E-2</v>
      </c>
      <c r="D75" s="252">
        <v>0.11289999999999999</v>
      </c>
      <c r="E75" s="253" t="s">
        <v>43</v>
      </c>
      <c r="F75" s="253">
        <v>4</v>
      </c>
      <c r="G75" s="26"/>
      <c r="H75" s="89"/>
    </row>
    <row r="76" spans="1:8" ht="14.25" customHeight="1" x14ac:dyDescent="0.4">
      <c r="A76" s="27"/>
      <c r="B76" s="40"/>
      <c r="C76" s="92"/>
      <c r="D76" s="92"/>
      <c r="E76" s="39"/>
      <c r="F76" s="39"/>
      <c r="G76" s="26"/>
      <c r="H76" s="89"/>
    </row>
    <row r="77" spans="1:8" ht="14.25" customHeight="1" x14ac:dyDescent="0.4">
      <c r="B77" s="28" t="s">
        <v>211</v>
      </c>
      <c r="C77" s="21"/>
      <c r="D77" s="24"/>
      <c r="E77" s="29"/>
      <c r="F77" s="30"/>
      <c r="G77" s="24"/>
      <c r="H77" s="26"/>
    </row>
    <row r="78" spans="1:8" ht="14.25" customHeight="1" x14ac:dyDescent="0.4">
      <c r="B78" s="28"/>
      <c r="C78" s="31">
        <v>0.04</v>
      </c>
      <c r="D78" s="32"/>
      <c r="E78" s="29"/>
      <c r="F78" s="30"/>
      <c r="G78" s="24"/>
      <c r="H78" s="26"/>
    </row>
    <row r="79" spans="1:8" ht="14.25" customHeight="1" x14ac:dyDescent="0.4">
      <c r="B79" s="28" t="s">
        <v>212</v>
      </c>
      <c r="C79" s="21"/>
      <c r="D79" s="33"/>
      <c r="E79" s="29"/>
      <c r="F79" s="30"/>
      <c r="G79" s="24"/>
      <c r="H79" s="26"/>
    </row>
    <row r="80" spans="1:8" ht="14.25" customHeight="1" x14ac:dyDescent="0.4">
      <c r="B80" s="34" t="s">
        <v>213</v>
      </c>
      <c r="C80" s="35">
        <v>1.5580000000000001</v>
      </c>
      <c r="D80" s="34" t="s">
        <v>93</v>
      </c>
      <c r="E80" s="89"/>
      <c r="F80" s="89"/>
      <c r="G80" s="26"/>
      <c r="H80" s="26"/>
    </row>
    <row r="81" spans="1:23" s="93" customFormat="1" ht="29.25" customHeight="1" x14ac:dyDescent="0.4">
      <c r="A81" s="37"/>
      <c r="B81" s="53"/>
      <c r="C81" s="53"/>
      <c r="D81" s="53"/>
      <c r="G81" s="94"/>
    </row>
    <row r="82" spans="1:23" s="93" customFormat="1" ht="17.2" customHeight="1" x14ac:dyDescent="0.4">
      <c r="A82" s="37"/>
      <c r="B82" s="266" t="s">
        <v>223</v>
      </c>
      <c r="C82" s="53"/>
      <c r="D82" s="53"/>
      <c r="G82" s="94"/>
    </row>
    <row r="83" spans="1:23" s="88" customFormat="1" ht="16.5" customHeight="1" x14ac:dyDescent="0.45">
      <c r="A83" s="95"/>
      <c r="B83" s="374" t="s">
        <v>175</v>
      </c>
      <c r="C83" s="375"/>
      <c r="D83" s="103">
        <v>12</v>
      </c>
      <c r="J83" s="56"/>
      <c r="K83" s="99"/>
      <c r="L83" s="99"/>
      <c r="M83" s="99"/>
      <c r="N83" s="99"/>
      <c r="O83" s="99"/>
      <c r="P83" s="99"/>
      <c r="Q83" s="99"/>
      <c r="R83" s="99"/>
      <c r="S83" s="99"/>
      <c r="T83" s="99"/>
      <c r="U83" s="99"/>
      <c r="V83" s="99"/>
      <c r="W83" s="99"/>
    </row>
    <row r="84" spans="1:23" s="88" customFormat="1" ht="16.5" customHeight="1" x14ac:dyDescent="0.45">
      <c r="A84" s="95"/>
      <c r="B84" s="374" t="s">
        <v>19</v>
      </c>
      <c r="C84" s="375"/>
      <c r="D84" s="108">
        <f ca="1">E13*30.4</f>
        <v>243.2</v>
      </c>
      <c r="J84" s="56"/>
      <c r="K84" s="99"/>
      <c r="L84" s="99"/>
      <c r="M84" s="99"/>
      <c r="N84" s="99"/>
      <c r="O84" s="99"/>
      <c r="P84" s="99"/>
      <c r="Q84" s="99"/>
      <c r="R84" s="99"/>
      <c r="S84" s="99"/>
      <c r="T84" s="99"/>
      <c r="U84" s="99"/>
      <c r="V84" s="99"/>
      <c r="W84" s="99"/>
    </row>
    <row r="85" spans="1:23" s="88" customFormat="1" ht="16.5" customHeight="1" x14ac:dyDescent="0.4">
      <c r="A85" s="95"/>
      <c r="B85" s="374" t="s">
        <v>202</v>
      </c>
      <c r="C85" s="375"/>
      <c r="D85" s="102">
        <v>10</v>
      </c>
      <c r="J85" s="99"/>
      <c r="K85" s="99"/>
      <c r="L85" s="99"/>
      <c r="M85" s="99"/>
      <c r="N85" s="99"/>
      <c r="O85" s="99"/>
      <c r="P85" s="99"/>
      <c r="Q85" s="99"/>
      <c r="R85" s="99"/>
      <c r="S85" s="99"/>
      <c r="T85" s="99"/>
      <c r="U85" s="99"/>
      <c r="V85" s="99"/>
      <c r="W85" s="99"/>
    </row>
    <row r="86" spans="1:23" s="88" customFormat="1" ht="14.25" customHeight="1" x14ac:dyDescent="0.4">
      <c r="A86" s="95"/>
      <c r="B86" s="97"/>
      <c r="C86" s="97"/>
      <c r="D86" s="97"/>
      <c r="J86" s="99"/>
      <c r="K86" s="99"/>
      <c r="L86" s="99"/>
      <c r="M86" s="99"/>
      <c r="N86" s="99"/>
      <c r="O86" s="99"/>
      <c r="P86" s="99"/>
      <c r="Q86" s="99"/>
      <c r="R86" s="99"/>
      <c r="S86" s="99"/>
      <c r="T86" s="99"/>
      <c r="U86" s="99"/>
      <c r="V86" s="99"/>
      <c r="W86" s="99"/>
    </row>
    <row r="87" spans="1:23" s="88" customFormat="1" ht="14.25" customHeight="1" x14ac:dyDescent="0.4">
      <c r="A87" s="95"/>
      <c r="B87" s="104" t="s">
        <v>21</v>
      </c>
      <c r="C87" s="97"/>
      <c r="D87" s="97" t="s">
        <v>20</v>
      </c>
      <c r="J87" s="99"/>
      <c r="K87" s="99"/>
      <c r="L87" s="99"/>
      <c r="M87" s="99"/>
      <c r="N87" s="99"/>
      <c r="O87" s="99"/>
      <c r="P87" s="99"/>
      <c r="Q87" s="99"/>
      <c r="R87" s="99"/>
      <c r="S87" s="99"/>
      <c r="T87" s="99"/>
      <c r="U87" s="99"/>
      <c r="V87" s="99"/>
      <c r="W87" s="99"/>
    </row>
    <row r="88" spans="1:23" s="88" customFormat="1" ht="14.25" customHeight="1" x14ac:dyDescent="0.4">
      <c r="A88" s="95"/>
      <c r="B88" s="376" t="s">
        <v>167</v>
      </c>
      <c r="C88" s="377"/>
      <c r="D88" s="181">
        <f ca="1">HLOOKUP(C116,C103:I105,3,FALSE)</f>
        <v>75.5</v>
      </c>
      <c r="J88" s="99"/>
      <c r="K88" s="99"/>
      <c r="L88" s="99"/>
      <c r="M88" s="99"/>
      <c r="N88" s="99"/>
      <c r="O88" s="99"/>
      <c r="P88" s="99"/>
      <c r="Q88" s="99"/>
      <c r="R88" s="99"/>
      <c r="S88" s="99"/>
      <c r="T88" s="99"/>
      <c r="U88" s="99"/>
      <c r="V88" s="99"/>
      <c r="W88" s="99"/>
    </row>
    <row r="89" spans="1:23" s="88" customFormat="1" ht="14.25" customHeight="1" x14ac:dyDescent="0.45">
      <c r="A89" s="95"/>
      <c r="B89" s="378" t="s">
        <v>166</v>
      </c>
      <c r="C89" s="379"/>
      <c r="D89" s="185">
        <f ca="1">HLOOKUP(C116,C103:I105,2,FALSE)</f>
        <v>2.5131761442441056</v>
      </c>
      <c r="E89" t="s">
        <v>20</v>
      </c>
      <c r="J89" s="99"/>
      <c r="K89" s="99"/>
      <c r="L89" s="99"/>
      <c r="M89" s="99"/>
      <c r="N89" s="99"/>
      <c r="O89" s="99"/>
      <c r="P89" s="99"/>
      <c r="Q89" s="99"/>
      <c r="R89" s="99"/>
      <c r="S89" s="99"/>
      <c r="T89" s="99"/>
      <c r="U89" s="99"/>
      <c r="V89" s="99"/>
      <c r="W89" s="99"/>
    </row>
    <row r="90" spans="1:23" s="88" customFormat="1" ht="14.25" customHeight="1" x14ac:dyDescent="0.45">
      <c r="A90" s="95"/>
      <c r="B90" s="376" t="s">
        <v>137</v>
      </c>
      <c r="C90" s="377"/>
      <c r="D90" s="106">
        <f ca="1">E15*D88*60/D89/1000</f>
        <v>13.130794701986753</v>
      </c>
      <c r="E90"/>
      <c r="J90" s="99"/>
      <c r="K90" s="99"/>
      <c r="L90" s="99"/>
      <c r="M90" s="99"/>
      <c r="N90" s="99"/>
      <c r="O90" s="99"/>
      <c r="P90" s="99"/>
      <c r="Q90" s="99"/>
      <c r="R90" s="99"/>
      <c r="S90" s="99"/>
      <c r="T90" s="99"/>
      <c r="U90" s="99"/>
      <c r="V90" s="99"/>
      <c r="W90" s="99"/>
    </row>
    <row r="91" spans="1:23" s="88" customFormat="1" ht="14.25" customHeight="1" x14ac:dyDescent="0.4">
      <c r="A91" s="95"/>
      <c r="B91" s="97"/>
      <c r="C91" s="97"/>
      <c r="D91" s="97"/>
      <c r="E91" s="96"/>
      <c r="F91" s="96"/>
      <c r="G91" s="97"/>
      <c r="H91" s="97"/>
      <c r="I91" s="97"/>
      <c r="J91" s="99"/>
      <c r="K91" s="99"/>
      <c r="L91" s="99"/>
      <c r="M91" s="99"/>
      <c r="N91" s="99"/>
      <c r="O91" s="99"/>
      <c r="P91" s="99"/>
      <c r="Q91" s="99"/>
      <c r="R91" s="99"/>
      <c r="S91" s="99"/>
      <c r="T91" s="99"/>
      <c r="U91" s="99"/>
      <c r="V91" s="99"/>
      <c r="W91" s="99"/>
    </row>
    <row r="92" spans="1:23" s="88" customFormat="1" ht="13.9" customHeight="1" x14ac:dyDescent="0.4">
      <c r="A92" s="95"/>
      <c r="B92" s="104" t="s">
        <v>110</v>
      </c>
      <c r="C92" s="104"/>
      <c r="D92" s="107" t="s">
        <v>198</v>
      </c>
      <c r="E92" s="107"/>
      <c r="F92" s="99"/>
      <c r="G92" s="99"/>
      <c r="H92" s="99"/>
      <c r="I92" s="99"/>
      <c r="J92" s="99"/>
      <c r="K92" s="99"/>
      <c r="L92" s="99"/>
      <c r="M92" s="99"/>
      <c r="N92" s="99"/>
      <c r="O92" s="99"/>
      <c r="P92" s="99"/>
      <c r="Q92" s="99"/>
      <c r="R92" s="99"/>
      <c r="S92" s="99"/>
      <c r="T92" s="99"/>
      <c r="U92" s="99"/>
      <c r="V92" s="99"/>
      <c r="W92" s="99"/>
    </row>
    <row r="93" spans="1:23" s="88" customFormat="1" ht="14.25" customHeight="1" x14ac:dyDescent="0.4">
      <c r="A93" s="95"/>
      <c r="B93" s="374" t="s">
        <v>176</v>
      </c>
      <c r="C93" s="375"/>
      <c r="D93" s="221">
        <f>E14/(D83*60)</f>
        <v>30.555555555555557</v>
      </c>
      <c r="E93" s="222"/>
      <c r="F93" s="99" t="s">
        <v>20</v>
      </c>
      <c r="G93" s="99"/>
      <c r="H93" s="99"/>
      <c r="I93" s="99"/>
      <c r="J93" s="99"/>
      <c r="K93" s="99"/>
      <c r="L93" s="99"/>
      <c r="M93" s="99"/>
      <c r="N93" s="99"/>
      <c r="O93" s="99"/>
      <c r="P93" s="99"/>
      <c r="Q93" s="99"/>
      <c r="R93" s="99"/>
      <c r="S93" s="99"/>
      <c r="T93" s="99"/>
      <c r="U93" s="99"/>
      <c r="V93" s="99"/>
      <c r="W93" s="99"/>
    </row>
    <row r="94" spans="1:23" s="88" customFormat="1" ht="13.9" customHeight="1" x14ac:dyDescent="0.4">
      <c r="A94" s="95"/>
      <c r="B94" s="374" t="s">
        <v>199</v>
      </c>
      <c r="C94" s="375"/>
      <c r="D94" s="220">
        <f ca="1">HLOOKUP($E$16,$C$109:$G$113,2,FALSE)</f>
        <v>8.6999999999999993</v>
      </c>
      <c r="E94" s="223"/>
      <c r="F94" s="166"/>
      <c r="G94" s="99"/>
      <c r="H94" s="99"/>
      <c r="I94" s="99"/>
      <c r="J94" s="99"/>
      <c r="K94" s="99"/>
      <c r="L94" s="99"/>
      <c r="M94" s="99"/>
      <c r="N94" s="99"/>
      <c r="O94" s="99"/>
      <c r="P94" s="99"/>
      <c r="Q94" s="99"/>
      <c r="R94" s="99"/>
      <c r="S94" s="99"/>
      <c r="T94" s="99"/>
      <c r="U94" s="99"/>
      <c r="V94" s="99"/>
      <c r="W94" s="99"/>
    </row>
    <row r="95" spans="1:23" s="88" customFormat="1" ht="29.65" customHeight="1" x14ac:dyDescent="0.4">
      <c r="A95" s="95"/>
      <c r="B95" s="224" t="s">
        <v>137</v>
      </c>
      <c r="C95" s="225" t="s">
        <v>237</v>
      </c>
      <c r="D95" s="221">
        <f ca="1">E14*E18/D94/1000</f>
        <v>3.7931034482758621</v>
      </c>
      <c r="E95" s="222"/>
      <c r="F95" s="99"/>
      <c r="G95" s="97"/>
      <c r="H95" s="97"/>
      <c r="I95" s="97" t="s">
        <v>20</v>
      </c>
      <c r="J95" s="99"/>
      <c r="K95" s="99"/>
      <c r="L95" s="99"/>
      <c r="M95" s="99"/>
      <c r="N95" s="99"/>
      <c r="O95" s="99"/>
      <c r="P95" s="99"/>
      <c r="Q95" s="99"/>
      <c r="R95" s="99"/>
      <c r="S95" s="99"/>
      <c r="T95" s="99"/>
      <c r="U95" s="99"/>
      <c r="V95" s="99"/>
      <c r="W95" s="99"/>
    </row>
    <row r="96" spans="1:23" s="93" customFormat="1" ht="28.5" customHeight="1" x14ac:dyDescent="0.4">
      <c r="A96" s="134" t="s">
        <v>143</v>
      </c>
      <c r="B96" s="53"/>
      <c r="C96" s="53"/>
      <c r="D96" s="135"/>
      <c r="E96" s="136"/>
      <c r="F96" s="53"/>
      <c r="G96" s="76"/>
      <c r="H96" s="137"/>
    </row>
    <row r="97" spans="1:24" s="88" customFormat="1" ht="14.25" customHeight="1" x14ac:dyDescent="0.4">
      <c r="A97" s="95"/>
      <c r="B97" s="110"/>
      <c r="C97" s="101" t="s">
        <v>26</v>
      </c>
      <c r="D97" s="101" t="s">
        <v>27</v>
      </c>
      <c r="E97" s="101" t="s">
        <v>107</v>
      </c>
      <c r="F97" s="97"/>
      <c r="G97" s="97"/>
      <c r="H97" s="97"/>
      <c r="I97" s="97"/>
      <c r="J97" s="99"/>
      <c r="K97" s="99"/>
      <c r="L97" s="99"/>
      <c r="M97" s="99"/>
      <c r="N97" s="99"/>
      <c r="O97" s="99"/>
      <c r="P97" s="99"/>
      <c r="Q97" s="99"/>
      <c r="R97" s="99"/>
      <c r="S97" s="99"/>
      <c r="T97" s="99"/>
      <c r="U97" s="99"/>
      <c r="V97" s="99"/>
      <c r="W97" s="99"/>
    </row>
    <row r="98" spans="1:24" s="88" customFormat="1" ht="14.25" customHeight="1" x14ac:dyDescent="0.4">
      <c r="A98" s="95"/>
      <c r="B98" s="110" t="s">
        <v>112</v>
      </c>
      <c r="C98" s="111">
        <f ca="1">D90*D84</f>
        <v>3193.4092715231782</v>
      </c>
      <c r="D98" s="112">
        <f ca="1">D95*D84</f>
        <v>922.48275862068965</v>
      </c>
      <c r="E98" s="111">
        <f ca="1">C98-D98</f>
        <v>2270.9265129024884</v>
      </c>
      <c r="F98" s="97"/>
      <c r="G98" s="97"/>
      <c r="H98" s="97"/>
      <c r="I98" s="97"/>
      <c r="J98" s="99"/>
      <c r="K98" s="99"/>
      <c r="L98" s="99"/>
      <c r="M98" s="99"/>
      <c r="N98" s="99"/>
      <c r="O98" s="99"/>
      <c r="P98" s="99"/>
      <c r="Q98" s="99"/>
      <c r="R98" s="99"/>
      <c r="S98" s="99"/>
      <c r="T98" s="99"/>
      <c r="U98" s="99"/>
      <c r="V98" s="99"/>
      <c r="W98" s="99"/>
    </row>
    <row r="99" spans="1:24" s="88" customFormat="1" ht="14.25" customHeight="1" x14ac:dyDescent="0.4">
      <c r="A99" s="99"/>
      <c r="B99" s="97"/>
      <c r="C99" s="97"/>
      <c r="D99" s="113"/>
      <c r="E99" s="96"/>
      <c r="F99" s="97"/>
      <c r="G99" s="97"/>
      <c r="H99" s="97"/>
      <c r="I99" s="97"/>
      <c r="J99" s="99"/>
      <c r="K99" s="99"/>
      <c r="L99" s="99"/>
      <c r="M99" s="99"/>
      <c r="N99" s="99"/>
      <c r="O99" s="99"/>
      <c r="P99" s="99"/>
      <c r="Q99" s="99"/>
      <c r="R99" s="99"/>
      <c r="S99" s="99"/>
      <c r="T99" s="99"/>
      <c r="U99" s="99"/>
      <c r="V99" s="99"/>
      <c r="W99" s="99"/>
    </row>
    <row r="100" spans="1:24" s="93" customFormat="1" ht="28.5" customHeight="1" x14ac:dyDescent="0.45">
      <c r="A100" s="150" t="s">
        <v>144</v>
      </c>
      <c r="B100" s="151"/>
      <c r="C100" s="148"/>
      <c r="D100" s="148"/>
      <c r="E100" s="148"/>
      <c r="F100" s="148"/>
      <c r="G100" s="148"/>
      <c r="H100" s="152"/>
      <c r="I100" s="153"/>
      <c r="J100" s="153"/>
      <c r="K100"/>
    </row>
    <row r="101" spans="1:24" s="88" customFormat="1" ht="14.25" customHeight="1" x14ac:dyDescent="0.45">
      <c r="A101" s="114"/>
      <c r="B101" s="147" t="s">
        <v>21</v>
      </c>
      <c r="C101" s="148"/>
      <c r="D101" s="148"/>
      <c r="E101" s="148"/>
      <c r="F101" s="148"/>
      <c r="G101" s="148"/>
      <c r="H101" s="117"/>
      <c r="I101" s="118"/>
      <c r="J101" s="119"/>
      <c r="K101"/>
      <c r="L101" s="99"/>
      <c r="M101" s="99"/>
      <c r="N101" s="99"/>
      <c r="O101" s="99"/>
      <c r="P101" s="99"/>
      <c r="Q101" s="99"/>
      <c r="R101" s="99"/>
      <c r="S101" s="99"/>
      <c r="T101" s="99"/>
      <c r="U101" s="99"/>
      <c r="V101" s="99"/>
      <c r="W101" s="99"/>
    </row>
    <row r="102" spans="1:24" s="88" customFormat="1" ht="14.25" customHeight="1" x14ac:dyDescent="0.45">
      <c r="A102" s="114"/>
      <c r="B102" s="385"/>
      <c r="C102" s="371" t="s">
        <v>28</v>
      </c>
      <c r="D102" s="372"/>
      <c r="E102" s="372"/>
      <c r="F102" s="372"/>
      <c r="G102" s="372"/>
      <c r="H102" s="372"/>
      <c r="I102" s="373"/>
      <c r="J102" s="119"/>
      <c r="K102"/>
      <c r="L102"/>
      <c r="M102"/>
      <c r="N102"/>
      <c r="O102"/>
      <c r="P102"/>
      <c r="Q102"/>
      <c r="R102"/>
      <c r="S102"/>
      <c r="T102"/>
      <c r="U102"/>
      <c r="V102"/>
      <c r="W102"/>
      <c r="X102"/>
    </row>
    <row r="103" spans="1:24" s="88" customFormat="1" ht="14.25" customHeight="1" x14ac:dyDescent="0.45">
      <c r="A103" s="114"/>
      <c r="B103" s="386"/>
      <c r="C103" s="234">
        <v>3</v>
      </c>
      <c r="D103" s="234">
        <v>2.5</v>
      </c>
      <c r="E103" s="234">
        <v>2</v>
      </c>
      <c r="F103" s="234">
        <v>1.5</v>
      </c>
      <c r="G103" s="234">
        <v>1</v>
      </c>
      <c r="H103" s="234">
        <v>0.75</v>
      </c>
      <c r="I103" s="234">
        <v>0.5</v>
      </c>
      <c r="J103" s="119"/>
      <c r="K103"/>
      <c r="L103"/>
      <c r="M103"/>
      <c r="N103"/>
      <c r="O103"/>
      <c r="P103"/>
      <c r="Q103"/>
      <c r="R103"/>
      <c r="S103"/>
      <c r="T103"/>
      <c r="U103"/>
      <c r="V103"/>
      <c r="W103"/>
      <c r="X103"/>
    </row>
    <row r="104" spans="1:24" s="88" customFormat="1" ht="14.25" customHeight="1" x14ac:dyDescent="0.45">
      <c r="A104" s="114"/>
      <c r="B104" s="146" t="s">
        <v>154</v>
      </c>
      <c r="C104" s="180">
        <v>1.9986893840104849</v>
      </c>
      <c r="D104" s="180">
        <v>2.1812025891105056</v>
      </c>
      <c r="E104" s="180">
        <v>2.2990492653414001</v>
      </c>
      <c r="F104" s="180">
        <v>2.2676708353485804</v>
      </c>
      <c r="G104" s="180">
        <v>2.5131761442441056</v>
      </c>
      <c r="H104" s="180">
        <v>3.2911392405063293</v>
      </c>
      <c r="I104" s="180">
        <v>3.3787465940054497</v>
      </c>
      <c r="J104" s="119"/>
      <c r="K104"/>
      <c r="L104"/>
      <c r="M104"/>
      <c r="N104"/>
      <c r="O104"/>
      <c r="P104"/>
      <c r="Q104"/>
      <c r="R104"/>
      <c r="S104"/>
      <c r="T104"/>
      <c r="U104"/>
      <c r="V104"/>
      <c r="W104"/>
      <c r="X104"/>
    </row>
    <row r="105" spans="1:24" s="88" customFormat="1" ht="14.25" customHeight="1" x14ac:dyDescent="0.45">
      <c r="A105" s="114"/>
      <c r="B105" s="146" t="s">
        <v>153</v>
      </c>
      <c r="C105" s="149">
        <v>101.66666666666667</v>
      </c>
      <c r="D105" s="149">
        <v>93.090999999999994</v>
      </c>
      <c r="E105" s="149">
        <v>88.666666666666671</v>
      </c>
      <c r="F105" s="149">
        <v>78.142857142857139</v>
      </c>
      <c r="G105" s="149">
        <v>75.5</v>
      </c>
      <c r="H105" s="149">
        <v>65</v>
      </c>
      <c r="I105" s="149">
        <v>62</v>
      </c>
      <c r="J105" s="119"/>
      <c r="K105"/>
      <c r="L105"/>
      <c r="M105"/>
      <c r="N105"/>
      <c r="O105"/>
      <c r="P105"/>
      <c r="Q105"/>
      <c r="R105"/>
      <c r="S105"/>
      <c r="T105"/>
      <c r="U105"/>
      <c r="V105"/>
      <c r="W105"/>
      <c r="X105"/>
    </row>
    <row r="106" spans="1:24" s="88" customFormat="1" ht="14.25" customHeight="1" x14ac:dyDescent="0.45">
      <c r="A106" s="114"/>
      <c r="B106" s="115"/>
      <c r="C106" s="116"/>
      <c r="D106" s="116"/>
      <c r="E106" s="116"/>
      <c r="F106" s="116"/>
      <c r="G106" s="116"/>
      <c r="H106" s="117"/>
      <c r="I106" s="118"/>
      <c r="J106" s="119"/>
      <c r="K106"/>
      <c r="L106"/>
      <c r="M106"/>
      <c r="N106"/>
      <c r="O106"/>
      <c r="P106"/>
      <c r="Q106"/>
      <c r="R106"/>
      <c r="S106"/>
      <c r="T106"/>
      <c r="U106"/>
      <c r="V106"/>
      <c r="W106"/>
      <c r="X106"/>
    </row>
    <row r="107" spans="1:24" s="88" customFormat="1" ht="14.25" customHeight="1" x14ac:dyDescent="0.45">
      <c r="A107" s="114"/>
      <c r="B107" s="115" t="s">
        <v>203</v>
      </c>
      <c r="C107" s="116"/>
      <c r="D107" s="116"/>
      <c r="E107" s="154"/>
      <c r="F107" s="154"/>
      <c r="G107" s="154"/>
      <c r="H107" s="154"/>
      <c r="I107" s="118"/>
      <c r="J107" s="119"/>
      <c r="K107"/>
      <c r="L107"/>
      <c r="M107"/>
      <c r="N107"/>
      <c r="O107"/>
      <c r="P107"/>
      <c r="Q107"/>
      <c r="R107"/>
      <c r="S107"/>
      <c r="T107"/>
      <c r="U107"/>
      <c r="V107"/>
      <c r="W107"/>
      <c r="X107"/>
    </row>
    <row r="108" spans="1:24" s="88" customFormat="1" ht="14.25" customHeight="1" x14ac:dyDescent="0.45">
      <c r="A108" s="114"/>
      <c r="B108" s="380"/>
      <c r="C108" s="371" t="s">
        <v>109</v>
      </c>
      <c r="D108" s="372"/>
      <c r="E108" s="372"/>
      <c r="F108" s="372"/>
      <c r="G108" s="373"/>
      <c r="H108" s="118"/>
      <c r="I108" s="118"/>
      <c r="J108" s="118"/>
      <c r="K108"/>
      <c r="L108"/>
      <c r="M108"/>
      <c r="N108"/>
      <c r="O108"/>
      <c r="P108"/>
      <c r="Q108"/>
      <c r="R108"/>
      <c r="S108"/>
      <c r="T108"/>
      <c r="U108"/>
      <c r="V108"/>
      <c r="W108"/>
      <c r="X108"/>
    </row>
    <row r="109" spans="1:24" s="88" customFormat="1" ht="14.25" customHeight="1" x14ac:dyDescent="0.45">
      <c r="A109" s="114"/>
      <c r="B109" s="381"/>
      <c r="C109" s="206" t="s">
        <v>191</v>
      </c>
      <c r="D109" s="206" t="s">
        <v>190</v>
      </c>
      <c r="E109" s="206" t="s">
        <v>189</v>
      </c>
      <c r="F109" s="206" t="s">
        <v>188</v>
      </c>
      <c r="G109" s="206" t="s">
        <v>192</v>
      </c>
      <c r="H109" s="118"/>
      <c r="I109" s="154"/>
      <c r="J109" s="118"/>
      <c r="K109"/>
      <c r="L109"/>
      <c r="M109"/>
      <c r="N109"/>
      <c r="O109"/>
      <c r="P109"/>
      <c r="Q109"/>
      <c r="R109"/>
      <c r="S109"/>
      <c r="T109"/>
      <c r="U109"/>
      <c r="V109"/>
      <c r="W109"/>
      <c r="X109"/>
    </row>
    <row r="110" spans="1:24" s="88" customFormat="1" ht="14.25" customHeight="1" x14ac:dyDescent="0.45">
      <c r="A110" s="114"/>
      <c r="B110" s="146" t="s">
        <v>200</v>
      </c>
      <c r="C110" s="211">
        <v>7.1</v>
      </c>
      <c r="D110" s="211">
        <v>7.4</v>
      </c>
      <c r="E110" s="211">
        <v>9.3000000000000007</v>
      </c>
      <c r="F110" s="211">
        <v>8.9</v>
      </c>
      <c r="G110" s="211">
        <v>8.6999999999999993</v>
      </c>
      <c r="H110" s="118"/>
      <c r="I110" s="154"/>
      <c r="J110" s="118"/>
      <c r="K110"/>
      <c r="L110"/>
      <c r="M110"/>
      <c r="N110"/>
      <c r="O110"/>
      <c r="P110"/>
      <c r="Q110"/>
      <c r="R110"/>
      <c r="S110"/>
      <c r="T110"/>
      <c r="U110"/>
      <c r="V110"/>
      <c r="W110"/>
      <c r="X110"/>
    </row>
    <row r="111" spans="1:24" s="88" customFormat="1" ht="14.25" customHeight="1" x14ac:dyDescent="0.45">
      <c r="A111" s="114"/>
      <c r="B111" s="146" t="s">
        <v>161</v>
      </c>
      <c r="C111" s="205">
        <v>102</v>
      </c>
      <c r="D111" s="205">
        <v>90</v>
      </c>
      <c r="E111" s="205">
        <v>89.714285714285708</v>
      </c>
      <c r="F111" s="205">
        <v>78</v>
      </c>
      <c r="G111" s="205">
        <v>70</v>
      </c>
      <c r="H111" s="118"/>
      <c r="I111" s="154"/>
      <c r="J111" s="118"/>
      <c r="K111"/>
      <c r="L111"/>
      <c r="M111"/>
      <c r="N111"/>
      <c r="O111"/>
      <c r="P111"/>
      <c r="Q111"/>
      <c r="R111"/>
      <c r="S111"/>
      <c r="T111"/>
      <c r="U111"/>
      <c r="V111"/>
      <c r="W111"/>
      <c r="X111"/>
    </row>
    <row r="112" spans="1:24" s="88" customFormat="1" ht="14.25" customHeight="1" x14ac:dyDescent="0.45">
      <c r="A112" s="114"/>
      <c r="B112" s="146" t="s">
        <v>158</v>
      </c>
      <c r="C112" s="205">
        <v>6.0714285714285712</v>
      </c>
      <c r="D112" s="205">
        <v>5.9565217391304346</v>
      </c>
      <c r="E112" s="205">
        <v>6.4985881403791845</v>
      </c>
      <c r="F112" s="205">
        <v>6.709072648141948</v>
      </c>
      <c r="G112" s="205">
        <v>6.7787114845938374</v>
      </c>
      <c r="H112" s="118"/>
      <c r="I112" s="154"/>
      <c r="J112" s="118"/>
      <c r="K112"/>
      <c r="L112"/>
      <c r="M112"/>
      <c r="N112"/>
      <c r="O112"/>
      <c r="P112"/>
      <c r="Q112"/>
      <c r="R112"/>
      <c r="S112"/>
      <c r="T112"/>
      <c r="U112"/>
      <c r="V112"/>
      <c r="W112"/>
      <c r="X112"/>
    </row>
    <row r="113" spans="1:24" s="88" customFormat="1" ht="14.25" customHeight="1" x14ac:dyDescent="0.45">
      <c r="A113" s="114"/>
      <c r="B113" s="146" t="s">
        <v>162</v>
      </c>
      <c r="C113" s="205">
        <v>51</v>
      </c>
      <c r="D113" s="205">
        <v>45.666666666666664</v>
      </c>
      <c r="E113" s="205">
        <v>44.75</v>
      </c>
      <c r="F113" s="205">
        <v>41.75</v>
      </c>
      <c r="G113" s="205">
        <v>40.333333333333336</v>
      </c>
      <c r="H113" s="118"/>
      <c r="I113" s="154"/>
      <c r="J113" s="118"/>
      <c r="K113"/>
      <c r="L113"/>
      <c r="M113"/>
      <c r="N113"/>
      <c r="O113"/>
      <c r="P113"/>
      <c r="Q113"/>
      <c r="R113"/>
      <c r="S113"/>
      <c r="T113"/>
      <c r="U113"/>
      <c r="V113"/>
      <c r="W113"/>
      <c r="X113"/>
    </row>
    <row r="114" spans="1:24" s="88" customFormat="1" ht="14.25" customHeight="1" x14ac:dyDescent="0.4">
      <c r="A114" s="114"/>
      <c r="B114" s="115"/>
      <c r="C114" s="116"/>
      <c r="D114" s="116"/>
      <c r="E114" s="116"/>
      <c r="F114" s="116"/>
      <c r="G114" s="116"/>
      <c r="H114" s="117"/>
      <c r="I114" s="118"/>
      <c r="J114" s="118"/>
      <c r="K114" s="99"/>
      <c r="L114" s="99"/>
      <c r="M114" s="99"/>
      <c r="N114" s="99"/>
      <c r="O114" s="99"/>
      <c r="P114" s="99"/>
      <c r="Q114" s="99"/>
      <c r="R114" s="99"/>
      <c r="S114" s="99"/>
      <c r="T114" s="99"/>
      <c r="U114" s="99"/>
      <c r="V114" s="99"/>
      <c r="W114" s="99"/>
    </row>
    <row r="115" spans="1:24" s="88" customFormat="1" ht="14.25" customHeight="1" x14ac:dyDescent="0.4">
      <c r="A115" s="114"/>
      <c r="B115" s="147" t="s">
        <v>29</v>
      </c>
      <c r="C115" s="122"/>
      <c r="D115" s="116"/>
      <c r="E115" s="154"/>
      <c r="F115" s="154"/>
      <c r="G115" s="116"/>
      <c r="H115" s="117"/>
      <c r="I115" s="118"/>
      <c r="J115" s="119"/>
      <c r="K115" s="99"/>
      <c r="L115" s="99"/>
      <c r="M115" s="99"/>
      <c r="N115" s="99"/>
      <c r="O115" s="99"/>
      <c r="P115" s="99"/>
      <c r="Q115" s="99"/>
      <c r="R115" s="99"/>
      <c r="S115" s="99"/>
      <c r="T115" s="99"/>
      <c r="U115" s="99"/>
      <c r="V115" s="99"/>
      <c r="W115" s="99"/>
    </row>
    <row r="116" spans="1:24" s="88" customFormat="1" ht="14.25" customHeight="1" x14ac:dyDescent="0.4">
      <c r="A116" s="114"/>
      <c r="B116" s="167" t="s">
        <v>125</v>
      </c>
      <c r="C116" s="322">
        <f ca="1">OFFSET(B116,C122,1)</f>
        <v>1</v>
      </c>
      <c r="D116" s="167" t="s">
        <v>101</v>
      </c>
      <c r="E116" s="326">
        <v>1</v>
      </c>
      <c r="F116" s="167" t="s">
        <v>103</v>
      </c>
      <c r="G116" s="175">
        <v>1</v>
      </c>
      <c r="H116" s="168" t="s">
        <v>126</v>
      </c>
      <c r="I116" s="175">
        <v>1</v>
      </c>
      <c r="J116" s="119"/>
      <c r="K116" s="99"/>
      <c r="L116" s="99"/>
      <c r="M116" s="99"/>
      <c r="N116" s="99"/>
      <c r="O116" s="99"/>
      <c r="P116" s="99"/>
      <c r="Q116" s="99"/>
      <c r="R116" s="99"/>
      <c r="S116" s="99"/>
      <c r="T116" s="99"/>
      <c r="U116" s="99"/>
      <c r="V116" s="99"/>
      <c r="W116" s="99"/>
    </row>
    <row r="117" spans="1:24" s="88" customFormat="1" ht="14.25" customHeight="1" x14ac:dyDescent="0.4">
      <c r="A117" s="114"/>
      <c r="B117" s="155" t="s">
        <v>132</v>
      </c>
      <c r="C117" s="323">
        <v>1</v>
      </c>
      <c r="D117" s="287"/>
      <c r="E117" s="289"/>
      <c r="F117" s="162" t="s">
        <v>170</v>
      </c>
      <c r="G117" s="158" t="s">
        <v>170</v>
      </c>
      <c r="H117" s="148" t="s">
        <v>170</v>
      </c>
      <c r="I117" s="288"/>
      <c r="J117" s="119"/>
      <c r="K117" s="99"/>
      <c r="L117" s="99"/>
      <c r="M117" s="99"/>
      <c r="N117" s="99"/>
      <c r="O117" s="99"/>
      <c r="P117" s="99"/>
      <c r="Q117" s="99"/>
      <c r="R117" s="99"/>
      <c r="S117" s="99"/>
      <c r="T117" s="99"/>
      <c r="U117" s="99"/>
      <c r="V117" s="99"/>
      <c r="W117" s="99"/>
    </row>
    <row r="118" spans="1:24" s="88" customFormat="1" ht="14.25" customHeight="1" x14ac:dyDescent="0.4">
      <c r="A118" s="114"/>
      <c r="B118" s="155" t="s">
        <v>133</v>
      </c>
      <c r="C118" s="323">
        <v>1.5</v>
      </c>
      <c r="D118" s="155" t="s">
        <v>103</v>
      </c>
      <c r="E118" s="120"/>
      <c r="F118" s="162" t="s">
        <v>192</v>
      </c>
      <c r="G118" s="158" t="str">
        <f>IF(E116=1,CONCATENATE(F118,""),"N/A")</f>
        <v>0.72 hhp (1-1.4 HP)</v>
      </c>
      <c r="H118" s="148" t="s">
        <v>31</v>
      </c>
      <c r="I118" s="160"/>
      <c r="J118" s="119"/>
      <c r="K118" s="99"/>
      <c r="L118" s="99"/>
      <c r="M118" s="99"/>
      <c r="N118" s="99"/>
      <c r="O118" s="99"/>
      <c r="P118" s="99"/>
      <c r="Q118" s="99"/>
      <c r="R118" s="99"/>
      <c r="S118" s="99"/>
      <c r="T118" s="99"/>
      <c r="U118" s="99"/>
      <c r="V118" s="99"/>
      <c r="W118" s="99"/>
    </row>
    <row r="119" spans="1:24" s="88" customFormat="1" ht="14.25" customHeight="1" x14ac:dyDescent="0.4">
      <c r="A119" s="114"/>
      <c r="B119" s="155" t="s">
        <v>134</v>
      </c>
      <c r="C119" s="323">
        <v>2</v>
      </c>
      <c r="D119" s="156"/>
      <c r="E119" s="157"/>
      <c r="F119" s="162" t="s">
        <v>188</v>
      </c>
      <c r="G119" s="158" t="str">
        <f>IF(E116=1,CONCATENATE(F119,""),"N/A")</f>
        <v>0.95 hhp (1.65 HP)</v>
      </c>
      <c r="H119" s="148" t="s">
        <v>32</v>
      </c>
      <c r="I119" s="160"/>
      <c r="J119" s="119"/>
      <c r="K119" s="99"/>
      <c r="L119" s="99"/>
      <c r="M119" s="99"/>
      <c r="N119" s="99"/>
      <c r="O119" s="99"/>
      <c r="P119" s="99"/>
      <c r="Q119" s="99"/>
      <c r="R119" s="99"/>
      <c r="S119" s="99"/>
      <c r="T119" s="99"/>
      <c r="U119" s="99"/>
      <c r="V119" s="99"/>
      <c r="W119" s="99"/>
    </row>
    <row r="120" spans="1:24" s="88" customFormat="1" ht="14.25" customHeight="1" x14ac:dyDescent="0.4">
      <c r="A120" s="114"/>
      <c r="B120" s="155" t="s">
        <v>135</v>
      </c>
      <c r="C120" s="323">
        <v>2.5</v>
      </c>
      <c r="D120" s="121"/>
      <c r="E120" s="121"/>
      <c r="F120" s="162" t="s">
        <v>189</v>
      </c>
      <c r="G120" s="158" t="str">
        <f>IF(E116=1,CONCATENATE(F120,""),"N/A")</f>
        <v>1.18 hhp (2 HP)</v>
      </c>
      <c r="H120" s="163" t="s">
        <v>33</v>
      </c>
      <c r="I120" s="161"/>
      <c r="J120" s="119"/>
      <c r="K120" s="99"/>
      <c r="L120" s="99"/>
      <c r="M120" s="99"/>
      <c r="N120" s="99"/>
      <c r="O120" s="99"/>
      <c r="P120" s="99"/>
      <c r="Q120" s="99"/>
      <c r="R120" s="99"/>
      <c r="S120" s="99"/>
      <c r="T120" s="99"/>
      <c r="U120" s="99"/>
      <c r="V120" s="99"/>
      <c r="W120" s="99"/>
    </row>
    <row r="121" spans="1:24" s="88" customFormat="1" ht="14.25" customHeight="1" x14ac:dyDescent="0.4">
      <c r="A121" s="114"/>
      <c r="B121" s="156" t="s">
        <v>136</v>
      </c>
      <c r="C121" s="324">
        <v>3</v>
      </c>
      <c r="D121" s="121"/>
      <c r="E121" s="121"/>
      <c r="F121" s="162" t="s">
        <v>190</v>
      </c>
      <c r="G121" s="158" t="str">
        <f>IF(E116=1,CONCATENATE(F121,""),"N/A")</f>
        <v>1.25 hhp (2.5 HP)</v>
      </c>
      <c r="H121" s="117"/>
      <c r="I121" s="118"/>
      <c r="J121" s="119"/>
      <c r="K121" s="99"/>
      <c r="L121" s="99"/>
      <c r="M121" s="99"/>
      <c r="N121" s="99"/>
      <c r="O121" s="99"/>
      <c r="P121" s="99"/>
      <c r="Q121" s="99"/>
      <c r="R121" s="99"/>
      <c r="S121" s="99"/>
      <c r="T121" s="99"/>
      <c r="U121" s="99"/>
      <c r="V121" s="99"/>
      <c r="W121" s="99"/>
    </row>
    <row r="122" spans="1:24" s="88" customFormat="1" ht="14.25" customHeight="1" x14ac:dyDescent="0.4">
      <c r="A122" s="114"/>
      <c r="B122" s="115"/>
      <c r="C122" s="325">
        <v>1</v>
      </c>
      <c r="D122" s="121"/>
      <c r="E122" s="121"/>
      <c r="F122" s="165" t="s">
        <v>191</v>
      </c>
      <c r="G122" s="159" t="str">
        <f>IF(E116=1,CONCATENATE(F122,""),"N/A")</f>
        <v>1.65 hhp (3 HP)</v>
      </c>
      <c r="H122" s="117"/>
      <c r="I122" s="118"/>
      <c r="J122" s="119"/>
      <c r="K122" s="99"/>
      <c r="L122" s="99"/>
      <c r="M122" s="99"/>
      <c r="N122" s="99"/>
      <c r="O122" s="99"/>
      <c r="P122" s="99"/>
      <c r="Q122" s="99"/>
      <c r="R122" s="99"/>
      <c r="S122" s="99"/>
      <c r="T122" s="99"/>
      <c r="U122" s="99"/>
      <c r="V122" s="99"/>
      <c r="W122" s="99"/>
    </row>
    <row r="123" spans="1:24" s="88" customFormat="1" ht="14.25" customHeight="1" x14ac:dyDescent="0.4">
      <c r="A123" s="114"/>
      <c r="B123" s="154"/>
      <c r="C123" s="154"/>
      <c r="D123" s="121"/>
      <c r="E123" s="121"/>
      <c r="F123" s="154"/>
      <c r="G123" s="154"/>
      <c r="H123" s="117"/>
      <c r="I123" s="118"/>
      <c r="J123" s="119"/>
      <c r="K123" s="99"/>
      <c r="L123" s="99"/>
      <c r="M123" s="99"/>
      <c r="N123" s="99"/>
      <c r="O123" s="99"/>
      <c r="P123" s="99"/>
      <c r="Q123" s="99"/>
      <c r="R123" s="99"/>
      <c r="S123" s="99"/>
      <c r="T123" s="99"/>
      <c r="U123" s="99"/>
      <c r="V123" s="99"/>
      <c r="W123" s="99"/>
    </row>
    <row r="124" spans="1:24" s="88" customFormat="1" ht="14.25" customHeight="1" x14ac:dyDescent="0.4">
      <c r="A124" s="114"/>
      <c r="B124" s="154"/>
      <c r="C124" s="154"/>
      <c r="D124" s="148"/>
      <c r="E124" s="121"/>
      <c r="F124" s="121"/>
      <c r="G124" s="164"/>
      <c r="H124" s="117"/>
      <c r="I124" s="118"/>
      <c r="J124" s="119"/>
      <c r="K124" s="99"/>
      <c r="L124" s="99"/>
      <c r="M124" s="99"/>
      <c r="N124" s="99"/>
      <c r="O124" s="99"/>
      <c r="P124" s="99"/>
      <c r="Q124" s="99"/>
      <c r="R124" s="99"/>
      <c r="S124" s="99"/>
      <c r="T124" s="99"/>
      <c r="U124" s="99"/>
      <c r="V124" s="99"/>
      <c r="W124" s="99"/>
    </row>
    <row r="125" spans="1:24" s="88" customFormat="1" ht="14.25" customHeight="1" x14ac:dyDescent="0.4">
      <c r="A125" s="114"/>
      <c r="B125" s="154"/>
      <c r="C125" s="154"/>
      <c r="D125" s="116"/>
      <c r="E125" s="116"/>
      <c r="F125" s="116"/>
      <c r="G125" s="116"/>
      <c r="H125" s="117"/>
      <c r="I125" s="118"/>
      <c r="J125" s="119"/>
      <c r="K125" s="99"/>
      <c r="L125" s="99"/>
      <c r="M125" s="99"/>
      <c r="N125" s="99"/>
      <c r="O125" s="99"/>
      <c r="P125" s="99"/>
      <c r="Q125" s="99"/>
      <c r="R125" s="99"/>
      <c r="S125" s="99"/>
      <c r="T125" s="99"/>
      <c r="U125" s="99"/>
      <c r="V125" s="99"/>
      <c r="W125" s="99"/>
    </row>
    <row r="126" spans="1:24" s="93" customFormat="1" ht="14.25" customHeight="1" x14ac:dyDescent="0.3">
      <c r="A126" s="129"/>
      <c r="B126" s="130"/>
      <c r="C126" s="130"/>
      <c r="D126" s="130"/>
      <c r="E126" s="131"/>
      <c r="F126" s="131"/>
      <c r="G126" s="129"/>
      <c r="H126" s="129"/>
      <c r="I126" s="76"/>
    </row>
    <row r="127" spans="1:24" s="93" customFormat="1" ht="21" customHeight="1" x14ac:dyDescent="0.3">
      <c r="A127" s="141" t="s">
        <v>117</v>
      </c>
      <c r="C127" s="236"/>
      <c r="D127" s="132"/>
      <c r="E127" s="133"/>
      <c r="F127" s="133"/>
      <c r="I127" s="76"/>
    </row>
    <row r="128" spans="1:24" ht="14.25" customHeight="1" x14ac:dyDescent="0.4">
      <c r="A128" s="124"/>
      <c r="B128" s="144" t="s">
        <v>118</v>
      </c>
      <c r="C128" s="193"/>
      <c r="D128" s="191" t="s">
        <v>232</v>
      </c>
      <c r="E128" s="192"/>
      <c r="F128" s="179"/>
      <c r="G128" s="179"/>
      <c r="H128" s="89"/>
      <c r="I128" s="98"/>
      <c r="J128" s="124"/>
      <c r="K128" s="124"/>
      <c r="L128" s="124"/>
      <c r="M128" s="124"/>
      <c r="N128" s="123"/>
      <c r="O128" s="123"/>
      <c r="P128" s="123"/>
      <c r="Q128" s="123"/>
      <c r="R128" s="123"/>
      <c r="S128" s="123"/>
      <c r="T128" s="123"/>
      <c r="U128" s="123"/>
      <c r="V128" s="123"/>
      <c r="W128" s="123"/>
    </row>
    <row r="129" spans="1:23" ht="14.25" customHeight="1" x14ac:dyDescent="0.4">
      <c r="A129" s="124"/>
      <c r="B129" s="144" t="s">
        <v>120</v>
      </c>
      <c r="C129" s="123"/>
      <c r="D129" s="143" t="s">
        <v>116</v>
      </c>
      <c r="E129" s="194"/>
      <c r="F129" s="142"/>
      <c r="G129" s="126"/>
      <c r="H129" s="89"/>
      <c r="I129" s="98"/>
      <c r="J129" s="124"/>
      <c r="K129" s="124"/>
      <c r="L129" s="124"/>
      <c r="M129" s="124"/>
      <c r="N129" s="123"/>
      <c r="O129" s="123"/>
      <c r="P129" s="123"/>
      <c r="Q129" s="123"/>
      <c r="R129" s="123"/>
      <c r="S129" s="123"/>
      <c r="T129" s="123"/>
      <c r="U129" s="123"/>
      <c r="V129" s="123"/>
      <c r="W129" s="123"/>
    </row>
    <row r="130" spans="1:23" ht="14.25" customHeight="1" x14ac:dyDescent="0.4">
      <c r="A130" s="124"/>
      <c r="B130" s="144" t="s">
        <v>245</v>
      </c>
      <c r="C130" s="195"/>
      <c r="D130" s="143" t="s">
        <v>124</v>
      </c>
      <c r="E130" s="194"/>
      <c r="F130" s="142"/>
      <c r="G130" s="126"/>
      <c r="H130" s="178"/>
      <c r="I130" s="98"/>
      <c r="J130" s="124"/>
      <c r="K130" s="124"/>
      <c r="L130" s="124"/>
      <c r="M130" s="124"/>
      <c r="N130" s="123"/>
      <c r="O130" s="123"/>
      <c r="P130" s="123"/>
      <c r="Q130" s="123"/>
      <c r="R130" s="123"/>
      <c r="S130" s="123"/>
      <c r="T130" s="123"/>
      <c r="U130" s="123"/>
      <c r="V130" s="123"/>
      <c r="W130" s="123"/>
    </row>
    <row r="131" spans="1:23" ht="14.25" customHeight="1" x14ac:dyDescent="0.4">
      <c r="A131" s="124"/>
      <c r="B131" s="144" t="s">
        <v>121</v>
      </c>
      <c r="C131" s="123"/>
      <c r="D131" s="143" t="s">
        <v>149</v>
      </c>
      <c r="E131" s="194"/>
      <c r="F131" s="142"/>
      <c r="G131" s="126"/>
      <c r="H131" s="89"/>
      <c r="I131" s="98"/>
      <c r="J131" s="124"/>
      <c r="K131" s="124"/>
      <c r="L131" s="124"/>
      <c r="M131" s="124"/>
      <c r="N131" s="123"/>
      <c r="O131" s="123"/>
      <c r="P131" s="123"/>
      <c r="Q131" s="123"/>
      <c r="R131" s="123"/>
      <c r="S131" s="123"/>
      <c r="T131" s="123"/>
      <c r="U131" s="123"/>
      <c r="V131" s="123"/>
      <c r="W131" s="123"/>
    </row>
    <row r="132" spans="1:23" ht="14.25" customHeight="1" x14ac:dyDescent="0.4">
      <c r="A132" s="124"/>
      <c r="B132" s="144"/>
      <c r="C132" s="123"/>
      <c r="D132" s="143" t="s">
        <v>150</v>
      </c>
      <c r="E132" s="194"/>
      <c r="F132" s="142"/>
      <c r="G132" s="126"/>
      <c r="H132" s="89"/>
      <c r="I132" s="98"/>
      <c r="J132" s="124"/>
      <c r="K132" s="124"/>
      <c r="L132" s="124"/>
      <c r="M132" s="124"/>
      <c r="N132" s="123"/>
      <c r="O132" s="123"/>
      <c r="P132" s="123"/>
      <c r="Q132" s="123"/>
      <c r="R132" s="123"/>
      <c r="S132" s="123"/>
      <c r="T132" s="123"/>
      <c r="U132" s="123"/>
      <c r="V132" s="123"/>
      <c r="W132" s="123"/>
    </row>
    <row r="133" spans="1:23" ht="14.25" customHeight="1" x14ac:dyDescent="0.4">
      <c r="A133" s="124"/>
      <c r="B133" s="144"/>
      <c r="C133" s="123"/>
      <c r="D133" s="143" t="s">
        <v>148</v>
      </c>
      <c r="E133" s="194"/>
      <c r="F133" s="142"/>
      <c r="G133" s="126"/>
      <c r="H133" s="89"/>
      <c r="I133" s="98"/>
      <c r="J133" s="124"/>
      <c r="K133" s="124"/>
      <c r="L133" s="124"/>
      <c r="M133" s="124"/>
      <c r="N133" s="123"/>
      <c r="O133" s="123"/>
      <c r="P133" s="123"/>
      <c r="Q133" s="123"/>
      <c r="R133" s="123"/>
      <c r="S133" s="123"/>
      <c r="T133" s="123"/>
      <c r="U133" s="123"/>
      <c r="V133" s="123"/>
      <c r="W133" s="123"/>
    </row>
    <row r="134" spans="1:23" ht="14.25" customHeight="1" x14ac:dyDescent="0.4">
      <c r="A134" s="124"/>
      <c r="B134" s="144" t="s">
        <v>119</v>
      </c>
      <c r="C134" s="123"/>
      <c r="D134" s="143" t="s">
        <v>113</v>
      </c>
      <c r="E134" s="194"/>
      <c r="F134" s="142"/>
      <c r="G134" s="126"/>
      <c r="H134" s="89"/>
      <c r="I134" s="98"/>
      <c r="J134" s="124"/>
      <c r="K134" s="124"/>
      <c r="L134" s="124"/>
      <c r="M134" s="124"/>
      <c r="N134" s="123"/>
      <c r="O134" s="123"/>
      <c r="P134" s="123"/>
      <c r="Q134" s="123"/>
      <c r="R134" s="123"/>
      <c r="S134" s="123"/>
      <c r="T134" s="123"/>
      <c r="U134" s="123"/>
      <c r="V134" s="123"/>
      <c r="W134" s="123"/>
    </row>
    <row r="135" spans="1:23" ht="14.25" customHeight="1" x14ac:dyDescent="0.4">
      <c r="A135" s="124"/>
      <c r="B135" s="186" t="s">
        <v>182</v>
      </c>
      <c r="C135" s="186"/>
      <c r="D135" s="143" t="s">
        <v>184</v>
      </c>
      <c r="E135" s="194"/>
      <c r="F135" s="142"/>
      <c r="G135" s="126"/>
      <c r="H135" s="89"/>
      <c r="I135" s="98"/>
      <c r="J135" s="124"/>
      <c r="K135" s="124"/>
      <c r="L135" s="124"/>
      <c r="M135" s="124"/>
      <c r="N135" s="123"/>
      <c r="O135" s="123"/>
      <c r="P135" s="123"/>
      <c r="Q135" s="123"/>
      <c r="R135" s="123"/>
      <c r="S135" s="123"/>
      <c r="T135" s="123"/>
      <c r="U135" s="123"/>
      <c r="V135" s="123"/>
      <c r="W135" s="123"/>
    </row>
    <row r="136" spans="1:23" ht="14.25" customHeight="1" x14ac:dyDescent="0.45">
      <c r="A136" s="124"/>
      <c r="B136" s="199" t="s">
        <v>94</v>
      </c>
      <c r="D136" s="143" t="s">
        <v>241</v>
      </c>
      <c r="E136"/>
      <c r="F136"/>
      <c r="G136"/>
      <c r="H136"/>
      <c r="I136"/>
      <c r="J136"/>
      <c r="K136"/>
      <c r="L136" s="124"/>
      <c r="M136" s="124"/>
      <c r="N136" s="123"/>
      <c r="O136" s="123"/>
      <c r="P136" s="123"/>
      <c r="Q136" s="123"/>
      <c r="R136" s="123"/>
      <c r="S136" s="123"/>
      <c r="T136" s="123"/>
      <c r="U136" s="123"/>
      <c r="V136" s="123"/>
      <c r="W136" s="123"/>
    </row>
    <row r="137" spans="1:23" ht="14.25" customHeight="1" x14ac:dyDescent="0.4">
      <c r="A137" s="124"/>
      <c r="B137" s="199"/>
      <c r="D137" s="319" t="s">
        <v>242</v>
      </c>
      <c r="E137" s="237"/>
      <c r="F137" s="237"/>
      <c r="G137" s="237"/>
      <c r="H137" s="237"/>
      <c r="I137" s="237"/>
      <c r="J137" s="237"/>
      <c r="K137" s="237"/>
      <c r="L137" s="124"/>
      <c r="M137" s="124"/>
      <c r="N137" s="123"/>
      <c r="O137" s="123"/>
      <c r="P137" s="123"/>
      <c r="Q137" s="123"/>
      <c r="R137" s="123"/>
      <c r="S137" s="123"/>
      <c r="T137" s="123"/>
      <c r="U137" s="123"/>
      <c r="V137" s="123"/>
      <c r="W137" s="123"/>
    </row>
    <row r="138" spans="1:23" ht="14.25" customHeight="1" x14ac:dyDescent="0.4">
      <c r="A138" s="124"/>
      <c r="B138" s="196" t="s">
        <v>95</v>
      </c>
      <c r="D138" s="41" t="s">
        <v>96</v>
      </c>
      <c r="E138" s="198"/>
      <c r="F138" s="54"/>
      <c r="G138" s="54"/>
      <c r="H138" s="54"/>
      <c r="I138" s="54"/>
      <c r="J138" s="54"/>
      <c r="K138" s="197"/>
      <c r="L138" s="124"/>
      <c r="M138" s="124"/>
      <c r="N138" s="123"/>
      <c r="O138" s="123"/>
      <c r="P138" s="123"/>
      <c r="Q138" s="123"/>
      <c r="R138" s="123"/>
      <c r="S138" s="123"/>
      <c r="T138" s="123"/>
      <c r="U138" s="123"/>
      <c r="V138" s="123"/>
      <c r="W138" s="123"/>
    </row>
    <row r="139" spans="1:23" ht="14.25" customHeight="1" x14ac:dyDescent="0.4">
      <c r="A139" s="124"/>
      <c r="B139" s="196" t="s">
        <v>243</v>
      </c>
      <c r="D139" s="41" t="s">
        <v>244</v>
      </c>
      <c r="E139" s="89"/>
      <c r="F139" s="89"/>
      <c r="G139" s="89"/>
      <c r="H139" s="89"/>
      <c r="I139" s="124"/>
      <c r="J139" s="124"/>
      <c r="K139" s="124"/>
      <c r="L139" s="124"/>
      <c r="M139" s="124"/>
      <c r="N139" s="123"/>
      <c r="O139" s="123"/>
      <c r="P139" s="123"/>
      <c r="Q139" s="123"/>
      <c r="R139" s="123"/>
      <c r="S139" s="123"/>
      <c r="T139" s="123"/>
      <c r="U139" s="123"/>
      <c r="V139" s="123"/>
      <c r="W139" s="123"/>
    </row>
    <row r="140" spans="1:23" ht="14.25" customHeight="1" x14ac:dyDescent="0.4">
      <c r="A140" s="124"/>
      <c r="B140" s="125"/>
      <c r="C140" s="89"/>
      <c r="D140" s="89"/>
      <c r="E140" s="89"/>
      <c r="F140" s="89"/>
      <c r="G140" s="89"/>
      <c r="H140" s="89"/>
      <c r="I140" s="124"/>
      <c r="J140" s="124"/>
      <c r="K140" s="124"/>
      <c r="L140" s="124"/>
      <c r="M140" s="124"/>
      <c r="N140" s="123"/>
      <c r="O140" s="123"/>
      <c r="P140" s="123"/>
      <c r="Q140" s="123"/>
      <c r="R140" s="123"/>
      <c r="S140" s="123"/>
      <c r="T140" s="123"/>
      <c r="U140" s="123"/>
      <c r="V140" s="123"/>
      <c r="W140" s="123"/>
    </row>
  </sheetData>
  <sheetProtection deleteColumns="0" deleteRows="0" sort="0" autoFilter="0" pivotTables="0"/>
  <mergeCells count="19">
    <mergeCell ref="B84:C84"/>
    <mergeCell ref="C102:I102"/>
    <mergeCell ref="B102:B103"/>
    <mergeCell ref="B6:F7"/>
    <mergeCell ref="C108:G108"/>
    <mergeCell ref="B85:C85"/>
    <mergeCell ref="B83:C83"/>
    <mergeCell ref="B93:C93"/>
    <mergeCell ref="B88:C88"/>
    <mergeCell ref="B90:C90"/>
    <mergeCell ref="B94:C94"/>
    <mergeCell ref="B89:C89"/>
    <mergeCell ref="B108:B109"/>
    <mergeCell ref="B12:C12"/>
    <mergeCell ref="B13:C13"/>
    <mergeCell ref="B14:C14"/>
    <mergeCell ref="B19:C19"/>
    <mergeCell ref="B15:C15"/>
    <mergeCell ref="B16:C16"/>
  </mergeCells>
  <conditionalFormatting sqref="D92 D94:D95">
    <cfRule type="expression" dxfId="11" priority="58">
      <formula>$E$116=2</formula>
    </cfRule>
  </conditionalFormatting>
  <conditionalFormatting sqref="E92 E94:E95">
    <cfRule type="expression" dxfId="10" priority="59">
      <formula>$E$116=1</formula>
    </cfRule>
  </conditionalFormatting>
  <conditionalFormatting sqref="D16:E18">
    <cfRule type="expression" dxfId="9" priority="17">
      <formula>$E$116=2</formula>
    </cfRule>
  </conditionalFormatting>
  <conditionalFormatting sqref="B16:C18">
    <cfRule type="expression" dxfId="8" priority="16">
      <formula>$E$116=2</formula>
    </cfRule>
  </conditionalFormatting>
  <conditionalFormatting sqref="D93">
    <cfRule type="expression" dxfId="7" priority="1">
      <formula>$E$116=2</formula>
    </cfRule>
  </conditionalFormatting>
  <conditionalFormatting sqref="E93">
    <cfRule type="expression" dxfId="6" priority="2">
      <formula>$E$116=1</formula>
    </cfRule>
  </conditionalFormatting>
  <dataValidations xWindow="1418" yWindow="656" count="5">
    <dataValidation type="decimal" allowBlank="1" showErrorMessage="1" error="Select a value between 6 and 24 hours." sqref="D83" xr:uid="{00000000-0002-0000-0300-000001000000}">
      <formula1>6</formula1>
      <formula2>24</formula2>
    </dataValidation>
    <dataValidation allowBlank="1" showInputMessage="1" showErrorMessage="1" prompt="High speed horsepower of the smallest multi-speed pump meeting the estimated optimal flow rate." sqref="D16" xr:uid="{00000000-0002-0000-0300-000002000000}"/>
    <dataValidation showDropDown="1" showInputMessage="1" showErrorMessage="1" sqref="E24:E76" xr:uid="{00000000-0002-0000-0500-000000000000}"/>
    <dataValidation allowBlank="1" showErrorMessage="1" prompt="_x000a_" sqref="D17" xr:uid="{459C0D62-8E96-448F-8D69-F6ADDB33114F}"/>
    <dataValidation allowBlank="1" showErrorMessage="1" prompt="High speed horsepower of the smallest multi-speed pump meeting the estimated optimal flow rate." sqref="D18" xr:uid="{86044370-F995-4EDA-93FF-170F1613D07B}"/>
  </dataValidations>
  <hyperlinks>
    <hyperlink ref="D128:G128" r:id="rId1" display="- Consortium for Energy Efficiency, CEE(SM) High Efficiency Residential Swimming Pool Initiative, 2012" xr:uid="{00000000-0004-0000-0300-000000000000}"/>
    <hyperlink ref="D137" r:id="rId2" xr:uid="{00000000-0004-0000-0500-000000000000}"/>
    <hyperlink ref="B8" r:id="rId3" xr:uid="{532CCE45-639C-4689-A69D-FE3F77F6CEB1}"/>
    <hyperlink ref="D128" r:id="rId4" xr:uid="{4CFAAB82-B62E-42F3-9FD3-52CCDD7746D3}"/>
  </hyperlinks>
  <pageMargins left="0.75" right="0.75" top="0.75" bottom="0.75" header="0.5" footer="0.25"/>
  <pageSetup scale="71" orientation="landscape" r:id="rId5"/>
  <headerFooter alignWithMargins="0"/>
  <customProperties>
    <customPr name="%locator_row%" r:id="rId6"/>
  </customProperties>
  <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0" tint="-0.34998626667073579"/>
    <pageSetUpPr fitToPage="1"/>
  </sheetPr>
  <dimension ref="A1:X95"/>
  <sheetViews>
    <sheetView showGridLines="0" topLeftCell="A5" zoomScaleNormal="100" workbookViewId="0">
      <selection activeCell="E26" sqref="E26"/>
    </sheetView>
  </sheetViews>
  <sheetFormatPr defaultColWidth="15.73046875" defaultRowHeight="14.25" customHeight="1" x14ac:dyDescent="0.4"/>
  <cols>
    <col min="1" max="1" width="3.73046875" style="59" customWidth="1"/>
    <col min="2" max="2" width="33.73046875" style="90" customWidth="1"/>
    <col min="3" max="3" width="21.73046875" style="90" customWidth="1"/>
    <col min="4" max="4" width="20.73046875" style="90" customWidth="1"/>
    <col min="5" max="5" width="19.59765625" style="90" customWidth="1"/>
    <col min="6" max="8" width="19.59765625" style="91" customWidth="1"/>
    <col min="9" max="9" width="19.59765625" style="59" customWidth="1"/>
    <col min="10" max="10" width="3.73046875" style="59" customWidth="1"/>
    <col min="11" max="11" width="11.73046875" style="59" customWidth="1"/>
    <col min="12" max="13" width="11.33203125" style="59" customWidth="1"/>
    <col min="14" max="22" width="11.33203125" style="89" customWidth="1"/>
    <col min="23" max="16384" width="15.73046875" style="89"/>
  </cols>
  <sheetData>
    <row r="1" spans="1:23" s="87" customFormat="1" ht="27" customHeight="1" x14ac:dyDescent="0.45">
      <c r="A1" s="50" t="s">
        <v>146</v>
      </c>
      <c r="B1" s="69"/>
      <c r="C1" s="69"/>
      <c r="D1" s="69"/>
      <c r="E1" s="69"/>
      <c r="F1" s="70"/>
      <c r="G1"/>
      <c r="J1" s="88"/>
    </row>
    <row r="2" spans="1:23" s="54" customFormat="1" ht="16.5" customHeight="1" x14ac:dyDescent="0.45">
      <c r="A2" s="37" t="s">
        <v>141</v>
      </c>
      <c r="B2" s="138"/>
      <c r="C2" s="138"/>
      <c r="D2" s="138"/>
      <c r="E2" s="138"/>
      <c r="F2" s="139"/>
      <c r="G2" s="94"/>
      <c r="H2" s="93"/>
      <c r="I2" s="93"/>
      <c r="J2" s="140"/>
      <c r="K2" s="140"/>
      <c r="N2" s="57"/>
    </row>
    <row r="3" spans="1:23" s="54" customFormat="1" ht="14.25" customHeight="1" x14ac:dyDescent="0.45">
      <c r="A3" s="37"/>
      <c r="B3" s="389"/>
      <c r="C3" s="390"/>
      <c r="D3" s="169" t="s">
        <v>127</v>
      </c>
      <c r="E3" s="169" t="s">
        <v>139</v>
      </c>
      <c r="F3" s="139"/>
      <c r="G3" s="170"/>
      <c r="H3" s="97"/>
      <c r="I3" s="97"/>
      <c r="J3" s="140"/>
      <c r="K3" s="140"/>
      <c r="N3" s="57"/>
    </row>
    <row r="4" spans="1:23" s="88" customFormat="1" ht="14.25" customHeight="1" x14ac:dyDescent="0.4">
      <c r="A4" s="95"/>
      <c r="B4" s="389" t="s">
        <v>179</v>
      </c>
      <c r="C4" s="390"/>
      <c r="D4" s="201">
        <f ca="1">IF('Assumptions&amp;Calculations'!F22="Average",8,'Assumptions&amp;Calculations'!F22)</f>
        <v>8</v>
      </c>
      <c r="E4" s="171">
        <f ca="1">INPUTS!D6</f>
        <v>8</v>
      </c>
      <c r="F4" s="170"/>
      <c r="G4" s="170"/>
      <c r="H4" s="97"/>
      <c r="I4" s="97"/>
      <c r="J4" s="99"/>
      <c r="K4" s="99"/>
      <c r="L4" s="99"/>
      <c r="M4" s="99"/>
      <c r="N4" s="99"/>
      <c r="O4" s="99"/>
      <c r="P4" s="99"/>
      <c r="Q4" s="99"/>
      <c r="R4" s="99"/>
      <c r="S4" s="99"/>
      <c r="T4" s="99"/>
      <c r="U4" s="99"/>
      <c r="V4" s="99"/>
      <c r="W4" s="99"/>
    </row>
    <row r="5" spans="1:23" s="88" customFormat="1" ht="14.25" customHeight="1" x14ac:dyDescent="0.4">
      <c r="A5" s="95"/>
      <c r="B5" s="387" t="s">
        <v>102</v>
      </c>
      <c r="C5" s="388"/>
      <c r="D5" s="172">
        <v>22000</v>
      </c>
      <c r="E5" s="172">
        <f>INPUTS!D7</f>
        <v>22000</v>
      </c>
      <c r="F5" s="170"/>
      <c r="G5" s="170"/>
      <c r="H5" s="97"/>
      <c r="I5" s="97"/>
      <c r="J5" s="99"/>
      <c r="K5" s="99"/>
      <c r="L5" s="99"/>
      <c r="M5" s="99"/>
      <c r="N5" s="99"/>
      <c r="O5" s="99"/>
      <c r="P5" s="99"/>
      <c r="Q5" s="99"/>
      <c r="R5" s="99"/>
      <c r="S5" s="99"/>
      <c r="T5" s="99"/>
      <c r="U5" s="99"/>
      <c r="V5" s="99"/>
      <c r="W5" s="99"/>
    </row>
    <row r="6" spans="1:23" s="88" customFormat="1" ht="14.25" customHeight="1" x14ac:dyDescent="0.4">
      <c r="A6" s="95"/>
      <c r="B6" s="387" t="s">
        <v>180</v>
      </c>
      <c r="C6" s="388"/>
      <c r="D6" s="188">
        <f ca="1">IF(E5*D19/(D18*60)&lt;4,4,E5*D19/(D18*60))</f>
        <v>5.4098360655737707</v>
      </c>
      <c r="E6" s="189">
        <f ca="1">INPUTS!D28</f>
        <v>7.2847682119205297</v>
      </c>
      <c r="F6" s="170"/>
      <c r="G6" s="170"/>
      <c r="H6" s="97"/>
      <c r="I6" s="97"/>
      <c r="J6" s="99"/>
      <c r="K6" s="99"/>
      <c r="L6" s="99"/>
      <c r="M6" s="99"/>
      <c r="N6" s="99"/>
      <c r="O6" s="99"/>
      <c r="P6" s="99"/>
      <c r="Q6" s="99"/>
      <c r="R6" s="99"/>
      <c r="S6" s="99"/>
      <c r="T6" s="99"/>
      <c r="U6" s="99"/>
      <c r="V6" s="99"/>
      <c r="W6" s="99"/>
    </row>
    <row r="7" spans="1:23" s="88" customFormat="1" ht="14.25" customHeight="1" x14ac:dyDescent="0.4">
      <c r="A7" s="95"/>
      <c r="B7" s="387" t="s">
        <v>181</v>
      </c>
      <c r="C7" s="388"/>
      <c r="D7" s="188" t="str">
        <f ca="1">IF(AND(D11="C",D24&gt;C58),C50,IF(AND(D11="A",D24&gt;C54),C50,OFFSET(B54,-4,IF(D11="A",MATCH(D24,C54:G54,-1),MATCH(D24,C58:G58,-1)))))</f>
        <v>0.72 hhp (1-1.4 HP)</v>
      </c>
      <c r="E7" s="188" t="str">
        <f ca="1">IF(G61=1,D7,OFFSET(F61,G61,0))</f>
        <v>1.18 hhp (2 HP)</v>
      </c>
      <c r="F7" s="170"/>
      <c r="G7" s="170"/>
      <c r="H7" s="97"/>
      <c r="I7" s="97"/>
      <c r="J7" s="99"/>
      <c r="K7" s="99"/>
      <c r="L7" s="99"/>
      <c r="M7" s="99"/>
      <c r="N7" s="99"/>
      <c r="O7" s="99"/>
      <c r="P7" s="99"/>
      <c r="Q7" s="99"/>
      <c r="R7" s="99"/>
      <c r="S7" s="99"/>
      <c r="T7" s="99"/>
      <c r="U7" s="99"/>
      <c r="V7" s="99"/>
      <c r="W7" s="99"/>
    </row>
    <row r="8" spans="1:23" s="88" customFormat="1" ht="14.25" customHeight="1" x14ac:dyDescent="0.4">
      <c r="A8" s="95"/>
      <c r="B8" s="387" t="s">
        <v>186</v>
      </c>
      <c r="C8" s="388"/>
      <c r="D8" s="202">
        <f>431.96</f>
        <v>431.96</v>
      </c>
      <c r="E8" s="173">
        <f>INPUTS!H31</f>
        <v>432</v>
      </c>
      <c r="F8" s="174" t="s">
        <v>20</v>
      </c>
      <c r="G8" s="170"/>
      <c r="H8" s="97"/>
      <c r="I8" s="97"/>
      <c r="J8" s="99"/>
      <c r="K8" s="99"/>
      <c r="L8" s="99"/>
      <c r="M8" s="99"/>
      <c r="N8" s="99"/>
      <c r="O8" s="99"/>
      <c r="P8" s="99"/>
      <c r="Q8" s="99"/>
      <c r="R8" s="99"/>
      <c r="S8" s="99"/>
      <c r="T8" s="99"/>
      <c r="U8" s="99"/>
      <c r="V8" s="99"/>
      <c r="W8" s="99"/>
    </row>
    <row r="9" spans="1:23" s="93" customFormat="1" ht="29.25" customHeight="1" x14ac:dyDescent="0.4">
      <c r="A9" s="37" t="s">
        <v>142</v>
      </c>
      <c r="B9" s="53"/>
      <c r="C9" s="53"/>
      <c r="D9" s="53"/>
      <c r="G9" s="94"/>
    </row>
    <row r="10" spans="1:23" s="88" customFormat="1" ht="14.25" customHeight="1" x14ac:dyDescent="0.4">
      <c r="A10" s="95"/>
      <c r="B10" s="391" t="s">
        <v>128</v>
      </c>
      <c r="C10" s="392"/>
      <c r="D10" s="100">
        <v>2.5</v>
      </c>
      <c r="E10" s="177" t="s">
        <v>20</v>
      </c>
      <c r="F10" s="96"/>
      <c r="G10" s="97"/>
      <c r="H10" s="97"/>
      <c r="I10" s="97"/>
      <c r="J10" s="99"/>
      <c r="K10" s="99"/>
      <c r="L10" s="99"/>
      <c r="M10" s="99"/>
      <c r="N10" s="99"/>
      <c r="O10" s="99"/>
      <c r="P10" s="99"/>
      <c r="Q10" s="99"/>
      <c r="R10" s="99"/>
      <c r="S10" s="99"/>
      <c r="T10" s="99"/>
      <c r="U10" s="99"/>
      <c r="V10" s="99"/>
      <c r="W10" s="99"/>
    </row>
    <row r="11" spans="1:23" s="88" customFormat="1" ht="14.25" customHeight="1" x14ac:dyDescent="0.4">
      <c r="A11" s="95"/>
      <c r="B11" s="391" t="s">
        <v>129</v>
      </c>
      <c r="C11" s="392"/>
      <c r="D11" s="101" t="str">
        <f>IF(D10=2,"A","C")</f>
        <v>C</v>
      </c>
      <c r="E11" s="96"/>
      <c r="G11" s="97"/>
      <c r="H11" s="97"/>
      <c r="I11" s="97"/>
      <c r="J11" s="99"/>
      <c r="K11" s="99"/>
      <c r="L11" s="99"/>
      <c r="M11" s="99"/>
      <c r="N11" s="99"/>
      <c r="O11" s="99"/>
      <c r="P11" s="99"/>
      <c r="Q11" s="99"/>
      <c r="R11" s="99"/>
      <c r="S11" s="99"/>
      <c r="T11" s="99"/>
      <c r="U11" s="99"/>
      <c r="V11" s="99"/>
      <c r="W11" s="99"/>
    </row>
    <row r="12" spans="1:23" s="88" customFormat="1" ht="14.25" customHeight="1" x14ac:dyDescent="0.4">
      <c r="A12" s="95"/>
      <c r="B12" s="391" t="s">
        <v>174</v>
      </c>
      <c r="C12" s="392"/>
      <c r="D12" s="103">
        <v>1</v>
      </c>
      <c r="E12" s="96"/>
      <c r="F12" s="96" t="s">
        <v>20</v>
      </c>
      <c r="G12" s="97"/>
      <c r="H12" s="97"/>
      <c r="I12" s="97"/>
      <c r="J12" s="99"/>
      <c r="K12" s="99"/>
      <c r="L12" s="99"/>
      <c r="M12" s="99"/>
      <c r="N12" s="99"/>
      <c r="O12" s="99"/>
      <c r="P12" s="99"/>
      <c r="Q12" s="99"/>
      <c r="R12" s="99"/>
      <c r="S12" s="99"/>
      <c r="T12" s="99"/>
      <c r="U12" s="99"/>
      <c r="V12" s="99"/>
      <c r="W12" s="99"/>
    </row>
    <row r="13" spans="1:23" s="88" customFormat="1" ht="14.25" customHeight="1" x14ac:dyDescent="0.45">
      <c r="A13" s="95"/>
      <c r="B13" s="391" t="s">
        <v>175</v>
      </c>
      <c r="C13" s="392"/>
      <c r="D13" s="103">
        <v>12</v>
      </c>
      <c r="E13" s="393" t="s">
        <v>169</v>
      </c>
      <c r="F13" s="394"/>
      <c r="G13" s="394"/>
      <c r="H13" s="394"/>
      <c r="I13" s="394"/>
      <c r="J13" s="56"/>
      <c r="K13" s="99"/>
      <c r="L13" s="99"/>
      <c r="M13" s="99"/>
      <c r="N13" s="99"/>
      <c r="O13" s="99"/>
      <c r="P13" s="99"/>
      <c r="Q13" s="99"/>
      <c r="R13" s="99"/>
      <c r="S13" s="99"/>
      <c r="T13" s="99"/>
      <c r="U13" s="99"/>
      <c r="V13" s="99"/>
      <c r="W13" s="99"/>
    </row>
    <row r="14" spans="1:23" s="88" customFormat="1" ht="14.25" customHeight="1" x14ac:dyDescent="0.45">
      <c r="A14" s="95"/>
      <c r="B14" s="391" t="s">
        <v>19</v>
      </c>
      <c r="C14" s="392"/>
      <c r="D14" s="108">
        <f ca="1">E4*30.4</f>
        <v>243.2</v>
      </c>
      <c r="E14" s="393"/>
      <c r="F14" s="394"/>
      <c r="G14" s="394"/>
      <c r="H14" s="394"/>
      <c r="I14" s="394"/>
      <c r="J14" s="56"/>
      <c r="K14" s="99"/>
      <c r="L14" s="99"/>
      <c r="M14" s="99"/>
      <c r="N14" s="99"/>
      <c r="O14" s="99"/>
      <c r="P14" s="99"/>
      <c r="Q14" s="99"/>
      <c r="R14" s="99"/>
      <c r="S14" s="99"/>
      <c r="T14" s="99"/>
      <c r="U14" s="99"/>
      <c r="V14" s="99"/>
      <c r="W14" s="99"/>
    </row>
    <row r="15" spans="1:23" s="88" customFormat="1" ht="14.25" customHeight="1" x14ac:dyDescent="0.4">
      <c r="A15" s="95"/>
      <c r="B15" s="391" t="s">
        <v>122</v>
      </c>
      <c r="C15" s="392"/>
      <c r="D15" s="102">
        <v>10</v>
      </c>
      <c r="E15" s="393"/>
      <c r="F15" s="394"/>
      <c r="G15" s="394"/>
      <c r="H15" s="394"/>
      <c r="I15" s="394"/>
      <c r="J15" s="99"/>
      <c r="K15" s="99"/>
      <c r="L15" s="99"/>
      <c r="M15" s="99"/>
      <c r="N15" s="99"/>
      <c r="O15" s="99"/>
      <c r="P15" s="99"/>
      <c r="Q15" s="99"/>
      <c r="R15" s="99"/>
      <c r="S15" s="99"/>
      <c r="T15" s="99"/>
      <c r="U15" s="99"/>
      <c r="V15" s="99"/>
      <c r="W15" s="99"/>
    </row>
    <row r="16" spans="1:23" s="88" customFormat="1" ht="14.25" customHeight="1" x14ac:dyDescent="0.4">
      <c r="A16" s="95"/>
      <c r="B16" s="97"/>
      <c r="C16" s="97"/>
      <c r="D16" s="97"/>
      <c r="E16" s="96"/>
      <c r="F16" s="96"/>
      <c r="G16" s="97"/>
      <c r="H16" s="97"/>
      <c r="I16" s="97"/>
      <c r="J16" s="99"/>
      <c r="K16" s="99"/>
      <c r="L16" s="99"/>
      <c r="M16" s="99"/>
      <c r="N16" s="99"/>
      <c r="O16" s="99"/>
      <c r="P16" s="99"/>
      <c r="Q16" s="99"/>
      <c r="R16" s="99"/>
      <c r="S16" s="99"/>
      <c r="T16" s="99"/>
      <c r="U16" s="99"/>
      <c r="V16" s="99"/>
      <c r="W16" s="99"/>
    </row>
    <row r="17" spans="1:23" s="88" customFormat="1" ht="14.25" customHeight="1" x14ac:dyDescent="0.4">
      <c r="A17" s="95"/>
      <c r="B17" s="104" t="s">
        <v>21</v>
      </c>
      <c r="C17" s="97"/>
      <c r="D17" s="97" t="s">
        <v>20</v>
      </c>
      <c r="E17" s="96"/>
      <c r="F17" s="96"/>
      <c r="G17" s="97"/>
      <c r="H17" s="97"/>
      <c r="I17" s="97"/>
      <c r="J17" s="99"/>
      <c r="K17" s="99"/>
      <c r="L17" s="99"/>
      <c r="M17" s="99"/>
      <c r="N17" s="99"/>
      <c r="O17" s="99"/>
      <c r="P17" s="99"/>
      <c r="Q17" s="99"/>
      <c r="R17" s="99"/>
      <c r="S17" s="99"/>
      <c r="T17" s="99"/>
      <c r="U17" s="99"/>
      <c r="V17" s="99"/>
      <c r="W17" s="99"/>
    </row>
    <row r="18" spans="1:23" s="88" customFormat="1" ht="14.25" customHeight="1" x14ac:dyDescent="0.4">
      <c r="A18" s="95"/>
      <c r="B18" s="395" t="s">
        <v>167</v>
      </c>
      <c r="C18" s="395"/>
      <c r="D18" s="181">
        <f ca="1">HLOOKUP(C61,C42:I46,IF(D11="A",3,5),FALSE)</f>
        <v>101.66666666666667</v>
      </c>
      <c r="E18" s="393" t="s">
        <v>145</v>
      </c>
      <c r="F18" s="396"/>
      <c r="G18" s="396"/>
      <c r="H18" s="396"/>
      <c r="I18" s="396"/>
      <c r="J18" s="99"/>
      <c r="K18" s="99"/>
      <c r="L18" s="99"/>
      <c r="M18" s="99"/>
      <c r="N18" s="99"/>
      <c r="O18" s="99"/>
      <c r="P18" s="99"/>
      <c r="Q18" s="99"/>
      <c r="R18" s="99"/>
      <c r="S18" s="99"/>
      <c r="T18" s="99"/>
      <c r="U18" s="99"/>
      <c r="V18" s="99"/>
      <c r="W18" s="99"/>
    </row>
    <row r="19" spans="1:23" s="88" customFormat="1" ht="14.25" customHeight="1" x14ac:dyDescent="0.4">
      <c r="A19" s="95"/>
      <c r="B19" s="395" t="s">
        <v>165</v>
      </c>
      <c r="C19" s="395"/>
      <c r="D19" s="210">
        <f ca="1">IF('Assumptions&amp;Calculations'!F22="Warm",1,IF('Assumptions&amp;Calculations'!F22="Cool",2,IF('Assumptions&amp;Calculations'!F22="Average",1.5,)))</f>
        <v>1.5</v>
      </c>
      <c r="E19" s="397"/>
      <c r="F19" s="396"/>
      <c r="G19" s="396"/>
      <c r="H19" s="396"/>
      <c r="I19" s="396"/>
      <c r="J19" s="99"/>
      <c r="K19" s="99"/>
      <c r="L19" s="99"/>
      <c r="M19" s="99"/>
      <c r="N19" s="99"/>
      <c r="O19" s="99"/>
      <c r="P19" s="99"/>
      <c r="Q19" s="99"/>
      <c r="R19" s="99"/>
      <c r="S19" s="99"/>
      <c r="T19" s="99"/>
      <c r="U19" s="99"/>
      <c r="V19" s="99"/>
      <c r="W19" s="99"/>
    </row>
    <row r="20" spans="1:23" s="88" customFormat="1" ht="14.25" customHeight="1" x14ac:dyDescent="0.45">
      <c r="A20" s="95"/>
      <c r="B20" s="398" t="s">
        <v>166</v>
      </c>
      <c r="C20" s="399"/>
      <c r="D20" s="185">
        <f ca="1">HLOOKUP(C61,C42:I46,IF(D11="A",2,4),FALSE)</f>
        <v>1.9986893840104849</v>
      </c>
      <c r="E20" t="s">
        <v>20</v>
      </c>
      <c r="J20" s="99"/>
      <c r="K20" s="99"/>
      <c r="L20" s="99"/>
      <c r="M20" s="99"/>
      <c r="N20" s="99"/>
      <c r="O20" s="99"/>
      <c r="P20" s="99"/>
      <c r="Q20" s="99"/>
      <c r="R20" s="99"/>
      <c r="S20" s="99"/>
      <c r="T20" s="99"/>
      <c r="U20" s="99"/>
      <c r="V20" s="99"/>
      <c r="W20" s="99"/>
    </row>
    <row r="21" spans="1:23" s="88" customFormat="1" ht="14.25" customHeight="1" x14ac:dyDescent="0.45">
      <c r="A21" s="95"/>
      <c r="B21" s="395" t="s">
        <v>137</v>
      </c>
      <c r="C21" s="395"/>
      <c r="D21" s="106">
        <f ca="1">E6*D18*60/D20/1000</f>
        <v>22.233112582781462</v>
      </c>
      <c r="E21"/>
      <c r="J21" s="99"/>
      <c r="K21" s="99"/>
      <c r="L21" s="99"/>
      <c r="M21" s="99"/>
      <c r="N21" s="99"/>
      <c r="O21" s="99"/>
      <c r="P21" s="99"/>
      <c r="Q21" s="99"/>
      <c r="R21" s="99"/>
      <c r="S21" s="99"/>
      <c r="T21" s="99"/>
      <c r="U21" s="99"/>
      <c r="V21" s="99"/>
      <c r="W21" s="99"/>
    </row>
    <row r="22" spans="1:23" s="88" customFormat="1" ht="14.25" customHeight="1" x14ac:dyDescent="0.4">
      <c r="A22" s="95"/>
      <c r="B22" s="97"/>
      <c r="C22" s="97"/>
      <c r="D22" s="97"/>
      <c r="E22" s="96"/>
      <c r="F22" s="96"/>
      <c r="G22" s="97"/>
      <c r="H22" s="97"/>
      <c r="I22" s="97"/>
      <c r="J22" s="99"/>
      <c r="K22" s="99"/>
      <c r="L22" s="99"/>
      <c r="M22" s="99"/>
      <c r="N22" s="99"/>
      <c r="O22" s="99"/>
      <c r="P22" s="99"/>
      <c r="Q22" s="99"/>
      <c r="R22" s="99"/>
      <c r="S22" s="99"/>
      <c r="T22" s="99"/>
      <c r="U22" s="99"/>
      <c r="V22" s="99"/>
      <c r="W22" s="99"/>
    </row>
    <row r="23" spans="1:23" s="88" customFormat="1" ht="14.25" customHeight="1" x14ac:dyDescent="0.4">
      <c r="A23" s="95"/>
      <c r="B23" s="104" t="s">
        <v>110</v>
      </c>
      <c r="C23" s="104"/>
      <c r="D23" s="204" t="s">
        <v>30</v>
      </c>
      <c r="E23" s="107" t="s">
        <v>103</v>
      </c>
      <c r="F23" s="99"/>
      <c r="G23" s="99"/>
      <c r="H23" s="99"/>
      <c r="I23" s="99"/>
      <c r="J23" s="99"/>
      <c r="K23" s="99"/>
      <c r="L23" s="99"/>
      <c r="M23" s="99"/>
      <c r="N23" s="99"/>
      <c r="O23" s="99"/>
      <c r="P23" s="99"/>
      <c r="Q23" s="99"/>
      <c r="R23" s="99"/>
      <c r="S23" s="99"/>
      <c r="T23" s="99"/>
      <c r="U23" s="99"/>
      <c r="V23" s="99"/>
      <c r="W23" s="99"/>
    </row>
    <row r="24" spans="1:23" s="88" customFormat="1" ht="14.25" customHeight="1" x14ac:dyDescent="0.4">
      <c r="A24" s="95"/>
      <c r="B24" s="391" t="s">
        <v>176</v>
      </c>
      <c r="C24" s="392"/>
      <c r="D24" s="109">
        <f>E5/(D13*60)</f>
        <v>30.555555555555557</v>
      </c>
      <c r="E24" s="103">
        <f>IF(E5/(D13*60)&lt;25,25,E5/(D13*60))</f>
        <v>30.555555555555557</v>
      </c>
      <c r="F24" s="99" t="s">
        <v>20</v>
      </c>
      <c r="G24" s="99"/>
      <c r="H24" s="99"/>
      <c r="I24" s="99"/>
      <c r="J24" s="99"/>
      <c r="K24" s="99"/>
      <c r="L24" s="99"/>
      <c r="M24" s="99"/>
      <c r="N24" s="99"/>
      <c r="O24" s="99"/>
      <c r="P24" s="99"/>
      <c r="Q24" s="99"/>
      <c r="R24" s="99"/>
      <c r="S24" s="99"/>
      <c r="T24" s="99"/>
      <c r="U24" s="99"/>
      <c r="V24" s="99"/>
      <c r="W24" s="99"/>
    </row>
    <row r="25" spans="1:23" s="88" customFormat="1" ht="14.25" customHeight="1" x14ac:dyDescent="0.4">
      <c r="A25" s="95"/>
      <c r="B25" s="391" t="s">
        <v>177</v>
      </c>
      <c r="C25" s="392"/>
      <c r="D25" s="101" t="s">
        <v>114</v>
      </c>
      <c r="E25" s="102">
        <v>50</v>
      </c>
      <c r="F25" s="99"/>
      <c r="G25" s="99" t="s">
        <v>20</v>
      </c>
      <c r="H25" s="99"/>
      <c r="I25" s="99"/>
      <c r="J25" s="99"/>
      <c r="K25" s="99"/>
      <c r="L25" s="99"/>
      <c r="M25" s="99"/>
      <c r="N25" s="99"/>
      <c r="O25" s="99"/>
      <c r="P25" s="99"/>
      <c r="Q25" s="99"/>
      <c r="R25" s="99"/>
      <c r="S25" s="99"/>
      <c r="T25" s="99"/>
      <c r="U25" s="99"/>
      <c r="V25" s="99"/>
      <c r="W25" s="99"/>
    </row>
    <row r="26" spans="1:23" s="88" customFormat="1" ht="14.25" customHeight="1" x14ac:dyDescent="0.4">
      <c r="A26" s="95"/>
      <c r="B26" s="391" t="s">
        <v>164</v>
      </c>
      <c r="C26" s="392"/>
      <c r="D26" s="102">
        <f ca="1">HLOOKUP($E$7,$C$50:$G$58,IF($D$11="A",5,9),FALSE)</f>
        <v>44.75</v>
      </c>
      <c r="E26" s="109" t="s">
        <v>114</v>
      </c>
      <c r="F26" s="166"/>
      <c r="G26" s="99"/>
      <c r="H26" s="99"/>
      <c r="I26" s="99"/>
      <c r="J26" s="99"/>
      <c r="K26" s="99"/>
      <c r="L26" s="99"/>
      <c r="M26" s="99"/>
      <c r="N26" s="99"/>
      <c r="O26" s="99"/>
      <c r="P26" s="99"/>
      <c r="Q26" s="99"/>
      <c r="R26" s="99"/>
      <c r="S26" s="99"/>
      <c r="T26" s="99"/>
      <c r="U26" s="99"/>
      <c r="V26" s="99"/>
      <c r="W26" s="99"/>
    </row>
    <row r="27" spans="1:23" s="88" customFormat="1" ht="14.25" customHeight="1" x14ac:dyDescent="0.4">
      <c r="A27" s="95"/>
      <c r="B27" s="391" t="s">
        <v>163</v>
      </c>
      <c r="C27" s="392"/>
      <c r="D27" s="102">
        <f ca="1">HLOOKUP($E$7,$C$50:$G$58,IF($D$11="A",3,7),FALSE)</f>
        <v>89.714285714285708</v>
      </c>
      <c r="E27" s="101" t="s">
        <v>114</v>
      </c>
      <c r="F27" s="166"/>
      <c r="G27" s="99"/>
      <c r="H27" s="99"/>
      <c r="I27" s="99"/>
      <c r="J27" s="99"/>
      <c r="K27" s="99"/>
      <c r="L27" s="99"/>
      <c r="M27" s="99"/>
      <c r="N27" s="99"/>
      <c r="O27" s="99"/>
      <c r="P27" s="99"/>
      <c r="Q27" s="99"/>
      <c r="R27" s="99"/>
      <c r="S27" s="99"/>
      <c r="T27" s="99"/>
      <c r="U27" s="99"/>
      <c r="V27" s="99"/>
      <c r="W27" s="99"/>
    </row>
    <row r="28" spans="1:23" s="88" customFormat="1" ht="14.25" customHeight="1" x14ac:dyDescent="0.4">
      <c r="A28" s="95"/>
      <c r="B28" s="391" t="s">
        <v>178</v>
      </c>
      <c r="C28" s="392"/>
      <c r="D28" s="103">
        <f ca="1">HLOOKUP($E$7,$C$50:$G$58,IF($D$11="A",4,8),FALSE)</f>
        <v>6.4985881403791845</v>
      </c>
      <c r="E28" s="103">
        <f>IF(D11="A",20.554*EXP(-0.034*E24),27.188*EXP(-0.026*E24))</f>
        <v>12.284413393791306</v>
      </c>
      <c r="F28" s="166"/>
      <c r="G28" s="99"/>
      <c r="H28" s="99"/>
      <c r="I28" s="99"/>
      <c r="J28" s="99"/>
      <c r="K28" s="99"/>
      <c r="L28" s="99"/>
      <c r="M28" s="99"/>
      <c r="N28" s="99"/>
      <c r="O28" s="99"/>
      <c r="P28" s="99"/>
      <c r="Q28" s="99"/>
      <c r="R28" s="99"/>
      <c r="S28" s="99"/>
      <c r="T28" s="99"/>
      <c r="U28" s="99"/>
      <c r="V28" s="99"/>
      <c r="W28" s="99"/>
    </row>
    <row r="29" spans="1:23" s="88" customFormat="1" ht="14.25" customHeight="1" x14ac:dyDescent="0.4">
      <c r="A29" s="95"/>
      <c r="B29" s="400" t="s">
        <v>195</v>
      </c>
      <c r="C29" s="401"/>
      <c r="D29" s="103">
        <f ca="1">HLOOKUP($E$7,$C$50:$G$58,IF($D$11="A",2,6),FALSE)</f>
        <v>9.3000000000000007</v>
      </c>
      <c r="E29" s="102">
        <f>IF(D11="A",20.554*EXP(-0.034*E25),27.188*EXP(-0.026*E25))</f>
        <v>7.4095943890087339</v>
      </c>
      <c r="F29" s="166"/>
      <c r="G29" s="99"/>
      <c r="H29" s="99"/>
      <c r="I29" s="99"/>
      <c r="J29" s="99"/>
      <c r="K29" s="99"/>
      <c r="L29" s="99"/>
      <c r="M29" s="99"/>
      <c r="N29" s="99"/>
      <c r="O29" s="99"/>
      <c r="P29" s="99"/>
      <c r="Q29" s="99"/>
      <c r="R29" s="99"/>
      <c r="S29" s="99"/>
      <c r="T29" s="99"/>
      <c r="U29" s="99"/>
      <c r="V29" s="99"/>
      <c r="W29" s="99"/>
    </row>
    <row r="30" spans="1:23" s="88" customFormat="1" ht="14.25" customHeight="1" x14ac:dyDescent="0.4">
      <c r="A30" s="95"/>
      <c r="B30" s="391" t="s">
        <v>138</v>
      </c>
      <c r="C30" s="392"/>
      <c r="D30" s="109">
        <f ca="1">E5/(D26*60)</f>
        <v>8.1936685288640589</v>
      </c>
      <c r="E30" s="109">
        <f>E5/(E24*60)</f>
        <v>11.999999999999998</v>
      </c>
      <c r="F30" s="99"/>
      <c r="G30" s="99"/>
      <c r="H30" s="99"/>
      <c r="I30" s="99"/>
      <c r="J30" s="99"/>
      <c r="K30" s="99"/>
      <c r="L30" s="99"/>
      <c r="M30" s="99"/>
      <c r="N30" s="99"/>
      <c r="O30" s="99"/>
      <c r="P30" s="99"/>
      <c r="Q30" s="99"/>
      <c r="R30" s="99"/>
      <c r="S30" s="99"/>
      <c r="T30" s="99"/>
      <c r="U30" s="99"/>
      <c r="V30" s="99"/>
      <c r="W30" s="99"/>
    </row>
    <row r="31" spans="1:23" s="88" customFormat="1" ht="14.25" customHeight="1" x14ac:dyDescent="0.4">
      <c r="A31" s="95"/>
      <c r="B31" s="402" t="s">
        <v>22</v>
      </c>
      <c r="C31" s="105" t="s">
        <v>23</v>
      </c>
      <c r="D31" s="103">
        <f ca="1">MIN(D30*D12-D32,24)</f>
        <v>6.1936685288640589</v>
      </c>
      <c r="E31" s="103">
        <f>MIN(E30*D12-E32,24)</f>
        <v>9.9999999999999982</v>
      </c>
      <c r="F31" s="99"/>
      <c r="G31" s="97"/>
      <c r="H31" s="97"/>
      <c r="I31" s="97" t="s">
        <v>20</v>
      </c>
      <c r="J31" s="99"/>
      <c r="K31" s="99"/>
      <c r="L31" s="99"/>
      <c r="M31" s="99"/>
      <c r="N31" s="99"/>
      <c r="O31" s="99"/>
      <c r="P31" s="99"/>
      <c r="Q31" s="99"/>
      <c r="R31" s="99"/>
      <c r="S31" s="99"/>
      <c r="T31" s="99"/>
      <c r="U31" s="99"/>
      <c r="V31" s="99"/>
      <c r="W31" s="99"/>
    </row>
    <row r="32" spans="1:23" s="88" customFormat="1" ht="14.25" customHeight="1" x14ac:dyDescent="0.4">
      <c r="A32" s="95"/>
      <c r="B32" s="403"/>
      <c r="C32" s="105" t="s">
        <v>24</v>
      </c>
      <c r="D32" s="103">
        <v>2</v>
      </c>
      <c r="E32" s="103">
        <v>2</v>
      </c>
      <c r="F32" s="99"/>
      <c r="G32" s="99"/>
      <c r="H32" s="99"/>
      <c r="I32" s="99"/>
      <c r="J32" s="99"/>
      <c r="K32" s="99"/>
      <c r="L32" s="99"/>
      <c r="M32" s="99"/>
      <c r="N32" s="99"/>
      <c r="O32" s="99"/>
      <c r="P32" s="99"/>
      <c r="Q32" s="99"/>
      <c r="R32" s="99"/>
      <c r="S32" s="99"/>
      <c r="T32" s="99"/>
      <c r="U32" s="99"/>
      <c r="V32" s="99"/>
      <c r="W32" s="99"/>
    </row>
    <row r="33" spans="1:24" s="88" customFormat="1" ht="14.25" customHeight="1" x14ac:dyDescent="0.4">
      <c r="A33" s="95"/>
      <c r="B33" s="402" t="s">
        <v>137</v>
      </c>
      <c r="C33" s="105" t="s">
        <v>194</v>
      </c>
      <c r="D33" s="109">
        <f ca="1">D26*60*D31/D28/1000</f>
        <v>2.5590173805090006</v>
      </c>
      <c r="E33" s="109">
        <f>E24*60*E31/E28/1000</f>
        <v>1.492406087750126</v>
      </c>
      <c r="F33" s="99"/>
      <c r="G33" s="97"/>
      <c r="H33" s="97"/>
      <c r="I33" s="97" t="s">
        <v>20</v>
      </c>
      <c r="J33" s="99"/>
      <c r="K33" s="99"/>
      <c r="L33" s="99"/>
      <c r="M33" s="99"/>
      <c r="N33" s="99"/>
      <c r="O33" s="99"/>
      <c r="P33" s="99"/>
      <c r="Q33" s="99"/>
      <c r="R33" s="99"/>
      <c r="S33" s="99"/>
      <c r="T33" s="99"/>
      <c r="U33" s="99"/>
      <c r="V33" s="99"/>
      <c r="W33" s="99"/>
    </row>
    <row r="34" spans="1:24" s="88" customFormat="1" ht="14.25" customHeight="1" x14ac:dyDescent="0.4">
      <c r="A34" s="95"/>
      <c r="B34" s="403"/>
      <c r="C34" s="105" t="s">
        <v>25</v>
      </c>
      <c r="D34" s="109">
        <f ca="1">D27*60*D32/D29/1000</f>
        <v>1.1576036866359445</v>
      </c>
      <c r="E34" s="109">
        <f>E25*60*E32/E29/1000</f>
        <v>0.8097609241472512</v>
      </c>
      <c r="F34" s="99"/>
      <c r="G34" s="97"/>
      <c r="H34" s="97"/>
      <c r="I34" s="97"/>
      <c r="J34" s="99"/>
      <c r="K34" s="99"/>
      <c r="L34" s="99"/>
      <c r="M34" s="99"/>
      <c r="N34" s="99"/>
      <c r="O34" s="99"/>
      <c r="P34" s="99"/>
      <c r="Q34" s="99"/>
      <c r="R34" s="99"/>
      <c r="S34" s="99"/>
      <c r="T34" s="99"/>
      <c r="U34" s="99"/>
      <c r="V34" s="99"/>
      <c r="W34" s="99"/>
    </row>
    <row r="35" spans="1:24" s="93" customFormat="1" ht="28.5" customHeight="1" x14ac:dyDescent="0.4">
      <c r="A35" s="134" t="s">
        <v>143</v>
      </c>
      <c r="B35" s="53"/>
      <c r="C35" s="53"/>
      <c r="D35" s="135"/>
      <c r="E35" s="136"/>
      <c r="F35" s="53"/>
      <c r="G35" s="76"/>
      <c r="H35" s="137"/>
    </row>
    <row r="36" spans="1:24" s="88" customFormat="1" ht="14.25" customHeight="1" x14ac:dyDescent="0.4">
      <c r="A36" s="95"/>
      <c r="B36" s="110"/>
      <c r="C36" s="101" t="s">
        <v>26</v>
      </c>
      <c r="D36" s="101" t="s">
        <v>27</v>
      </c>
      <c r="E36" s="101" t="s">
        <v>107</v>
      </c>
      <c r="F36" s="97"/>
      <c r="G36" s="97"/>
      <c r="H36" s="97"/>
      <c r="I36" s="97"/>
      <c r="J36" s="99"/>
      <c r="K36" s="99"/>
      <c r="L36" s="99"/>
      <c r="M36" s="99"/>
      <c r="N36" s="99"/>
      <c r="O36" s="99"/>
      <c r="P36" s="99"/>
      <c r="Q36" s="99"/>
      <c r="R36" s="99"/>
      <c r="S36" s="99"/>
      <c r="T36" s="99"/>
      <c r="U36" s="99"/>
      <c r="V36" s="99"/>
      <c r="W36" s="99"/>
    </row>
    <row r="37" spans="1:24" s="88" customFormat="1" ht="14.25" customHeight="1" x14ac:dyDescent="0.4">
      <c r="A37" s="95"/>
      <c r="B37" s="110" t="s">
        <v>112</v>
      </c>
      <c r="C37" s="111">
        <f ca="1">D21*D14</f>
        <v>5407.092980132451</v>
      </c>
      <c r="D37" s="112">
        <f ca="1">IF(E61=1,SUM(D33:D34),SUM(E33:E34))*D14</f>
        <v>903.88224352965062</v>
      </c>
      <c r="E37" s="111">
        <f ca="1">C37-D37</f>
        <v>4503.2107366028004</v>
      </c>
      <c r="F37" s="97"/>
      <c r="G37" s="97"/>
      <c r="H37" s="97"/>
      <c r="I37" s="97"/>
      <c r="J37" s="99"/>
      <c r="K37" s="99"/>
      <c r="L37" s="99"/>
      <c r="M37" s="99"/>
      <c r="N37" s="99"/>
      <c r="O37" s="99"/>
      <c r="P37" s="99"/>
      <c r="Q37" s="99"/>
      <c r="R37" s="99"/>
      <c r="S37" s="99"/>
      <c r="T37" s="99"/>
      <c r="U37" s="99"/>
      <c r="V37" s="99"/>
      <c r="W37" s="99"/>
    </row>
    <row r="38" spans="1:24" s="88" customFormat="1" ht="14.25" customHeight="1" x14ac:dyDescent="0.4">
      <c r="A38" s="99"/>
      <c r="B38" s="97"/>
      <c r="C38" s="97"/>
      <c r="D38" s="113"/>
      <c r="E38" s="96"/>
      <c r="F38" s="97"/>
      <c r="G38" s="97"/>
      <c r="H38" s="97"/>
      <c r="I38" s="97"/>
      <c r="J38" s="99"/>
      <c r="K38" s="99"/>
      <c r="L38" s="99"/>
      <c r="M38" s="99"/>
      <c r="N38" s="99"/>
      <c r="O38" s="99"/>
      <c r="P38" s="99"/>
      <c r="Q38" s="99"/>
      <c r="R38" s="99"/>
      <c r="S38" s="99"/>
      <c r="T38" s="99"/>
      <c r="U38" s="99"/>
      <c r="V38" s="99"/>
      <c r="W38" s="99"/>
    </row>
    <row r="39" spans="1:24" s="93" customFormat="1" ht="28.5" customHeight="1" x14ac:dyDescent="0.45">
      <c r="A39" s="150" t="s">
        <v>144</v>
      </c>
      <c r="B39" s="151"/>
      <c r="C39" s="148"/>
      <c r="D39" s="148"/>
      <c r="E39" s="148"/>
      <c r="F39" s="148"/>
      <c r="G39" s="148"/>
      <c r="H39" s="152"/>
      <c r="I39" s="153"/>
      <c r="J39" s="153"/>
      <c r="K39"/>
    </row>
    <row r="40" spans="1:24" s="88" customFormat="1" ht="14.25" customHeight="1" x14ac:dyDescent="0.45">
      <c r="A40" s="114"/>
      <c r="B40" s="147" t="s">
        <v>21</v>
      </c>
      <c r="C40" s="148"/>
      <c r="D40" s="148"/>
      <c r="E40" s="148"/>
      <c r="F40" s="148"/>
      <c r="G40" s="148"/>
      <c r="H40" s="117"/>
      <c r="I40" s="118"/>
      <c r="J40" s="119"/>
      <c r="K40"/>
      <c r="L40" s="99"/>
      <c r="M40" s="99"/>
      <c r="N40" s="99"/>
      <c r="O40" s="99"/>
      <c r="P40" s="99"/>
      <c r="Q40" s="99"/>
      <c r="R40" s="99"/>
      <c r="S40" s="99"/>
      <c r="T40" s="99"/>
      <c r="U40" s="99"/>
      <c r="V40" s="99"/>
      <c r="W40" s="99"/>
    </row>
    <row r="41" spans="1:24" s="88" customFormat="1" ht="14.25" customHeight="1" x14ac:dyDescent="0.45">
      <c r="A41" s="114"/>
      <c r="B41" s="404"/>
      <c r="C41" s="405" t="s">
        <v>28</v>
      </c>
      <c r="D41" s="405"/>
      <c r="E41" s="405"/>
      <c r="F41" s="405"/>
      <c r="G41" s="405"/>
      <c r="H41" s="406"/>
      <c r="I41" s="406"/>
      <c r="J41" s="119"/>
      <c r="K41"/>
      <c r="L41"/>
      <c r="M41"/>
      <c r="N41"/>
      <c r="O41"/>
      <c r="P41"/>
      <c r="Q41"/>
      <c r="R41"/>
      <c r="S41"/>
      <c r="T41"/>
      <c r="U41"/>
      <c r="V41"/>
      <c r="W41"/>
      <c r="X41"/>
    </row>
    <row r="42" spans="1:24" s="88" customFormat="1" ht="14.25" customHeight="1" x14ac:dyDescent="0.45">
      <c r="A42" s="114"/>
      <c r="B42" s="404"/>
      <c r="C42" s="200">
        <v>3</v>
      </c>
      <c r="D42" s="200">
        <v>2.5</v>
      </c>
      <c r="E42" s="200">
        <v>2</v>
      </c>
      <c r="F42" s="200">
        <v>1.5</v>
      </c>
      <c r="G42" s="200">
        <v>1</v>
      </c>
      <c r="H42" s="200">
        <v>0.75</v>
      </c>
      <c r="I42" s="200">
        <v>0.5</v>
      </c>
      <c r="J42" s="119"/>
      <c r="K42"/>
      <c r="L42"/>
      <c r="M42"/>
      <c r="N42"/>
      <c r="O42"/>
      <c r="P42"/>
      <c r="Q42"/>
      <c r="R42"/>
      <c r="S42"/>
      <c r="T42"/>
      <c r="U42"/>
      <c r="V42"/>
      <c r="W42"/>
      <c r="X42"/>
    </row>
    <row r="43" spans="1:24" s="88" customFormat="1" ht="14.25" customHeight="1" x14ac:dyDescent="0.45">
      <c r="A43" s="114"/>
      <c r="B43" s="146" t="s">
        <v>151</v>
      </c>
      <c r="C43" s="180">
        <v>1.6452742123687283</v>
      </c>
      <c r="D43" s="180">
        <v>1.8804985337243401</v>
      </c>
      <c r="E43" s="180">
        <v>1.9450722977366319</v>
      </c>
      <c r="F43" s="180">
        <v>2.088497047325959</v>
      </c>
      <c r="G43" s="180">
        <v>2.3964263225711409</v>
      </c>
      <c r="H43" s="180">
        <v>2.570735650767987</v>
      </c>
      <c r="I43" s="180">
        <v>2.7124773960216997</v>
      </c>
      <c r="J43" s="119"/>
      <c r="K43"/>
      <c r="L43"/>
      <c r="M43"/>
      <c r="N43"/>
      <c r="O43"/>
      <c r="P43"/>
      <c r="Q43"/>
      <c r="R43"/>
      <c r="S43"/>
      <c r="T43"/>
      <c r="U43"/>
      <c r="V43"/>
      <c r="W43"/>
      <c r="X43"/>
    </row>
    <row r="44" spans="1:24" s="88" customFormat="1" ht="14.25" customHeight="1" x14ac:dyDescent="0.45">
      <c r="A44" s="114"/>
      <c r="B44" s="146" t="s">
        <v>152</v>
      </c>
      <c r="C44" s="149">
        <v>73.111111111111114</v>
      </c>
      <c r="D44" s="149">
        <v>68.400000000000006</v>
      </c>
      <c r="E44" s="149">
        <v>65.4375</v>
      </c>
      <c r="F44" s="149">
        <v>64.384615384615387</v>
      </c>
      <c r="G44" s="149">
        <v>60.06307692307692</v>
      </c>
      <c r="H44" s="149">
        <v>53</v>
      </c>
      <c r="I44" s="149">
        <v>50</v>
      </c>
      <c r="J44" s="119"/>
      <c r="K44"/>
      <c r="L44"/>
      <c r="M44"/>
      <c r="N44"/>
      <c r="O44"/>
      <c r="P44"/>
      <c r="Q44"/>
      <c r="R44"/>
      <c r="S44"/>
      <c r="T44"/>
      <c r="U44"/>
      <c r="V44"/>
      <c r="W44"/>
      <c r="X44"/>
    </row>
    <row r="45" spans="1:24" s="88" customFormat="1" ht="14.25" customHeight="1" x14ac:dyDescent="0.45">
      <c r="A45" s="114"/>
      <c r="B45" s="146" t="s">
        <v>154</v>
      </c>
      <c r="C45" s="180">
        <v>1.9986893840104849</v>
      </c>
      <c r="D45" s="180">
        <v>2.1812025891105056</v>
      </c>
      <c r="E45" s="180">
        <v>2.2990492653414001</v>
      </c>
      <c r="F45" s="180">
        <v>2.2676708353485804</v>
      </c>
      <c r="G45" s="180">
        <v>2.5131761442441056</v>
      </c>
      <c r="H45" s="180">
        <v>3.2911392405063293</v>
      </c>
      <c r="I45" s="180">
        <v>3.3787465940054497</v>
      </c>
      <c r="J45" s="119"/>
      <c r="K45"/>
      <c r="L45"/>
      <c r="M45"/>
      <c r="N45"/>
      <c r="O45"/>
      <c r="P45"/>
      <c r="Q45"/>
      <c r="R45"/>
      <c r="S45"/>
      <c r="T45"/>
      <c r="U45"/>
      <c r="V45"/>
      <c r="W45"/>
      <c r="X45"/>
    </row>
    <row r="46" spans="1:24" s="88" customFormat="1" ht="14.25" customHeight="1" x14ac:dyDescent="0.45">
      <c r="A46" s="114"/>
      <c r="B46" s="146" t="s">
        <v>153</v>
      </c>
      <c r="C46" s="149">
        <v>101.66666666666667</v>
      </c>
      <c r="D46" s="149">
        <v>93.090999999999994</v>
      </c>
      <c r="E46" s="149">
        <v>88.666666666666671</v>
      </c>
      <c r="F46" s="149">
        <v>78.142857142857139</v>
      </c>
      <c r="G46" s="149">
        <v>75.5</v>
      </c>
      <c r="H46" s="149">
        <v>65</v>
      </c>
      <c r="I46" s="149">
        <v>62</v>
      </c>
      <c r="J46" s="119"/>
      <c r="K46"/>
      <c r="L46"/>
      <c r="M46"/>
      <c r="N46"/>
      <c r="O46"/>
      <c r="P46"/>
      <c r="Q46"/>
      <c r="R46"/>
      <c r="S46"/>
      <c r="T46"/>
      <c r="U46"/>
      <c r="V46"/>
      <c r="W46"/>
      <c r="X46"/>
    </row>
    <row r="47" spans="1:24" s="88" customFormat="1" ht="14.25" customHeight="1" x14ac:dyDescent="0.45">
      <c r="A47" s="114"/>
      <c r="B47" s="115"/>
      <c r="C47" s="116"/>
      <c r="D47" s="116"/>
      <c r="E47" s="116"/>
      <c r="F47" s="116"/>
      <c r="G47" s="116"/>
      <c r="H47" s="117"/>
      <c r="I47" s="118"/>
      <c r="J47" s="119"/>
      <c r="K47"/>
      <c r="L47"/>
      <c r="M47"/>
      <c r="N47"/>
      <c r="O47"/>
      <c r="P47"/>
      <c r="Q47"/>
      <c r="R47"/>
      <c r="S47"/>
      <c r="T47"/>
      <c r="U47"/>
      <c r="V47"/>
      <c r="W47"/>
      <c r="X47"/>
    </row>
    <row r="48" spans="1:24" s="88" customFormat="1" ht="14.25" customHeight="1" x14ac:dyDescent="0.45">
      <c r="A48" s="114"/>
      <c r="B48" s="115" t="s">
        <v>123</v>
      </c>
      <c r="C48" s="116"/>
      <c r="D48" s="116"/>
      <c r="E48" s="154"/>
      <c r="F48" s="154"/>
      <c r="G48" s="154"/>
      <c r="H48" s="154"/>
      <c r="I48" s="118"/>
      <c r="J48" s="119"/>
      <c r="K48"/>
      <c r="L48"/>
      <c r="M48"/>
      <c r="N48"/>
      <c r="O48"/>
      <c r="P48"/>
      <c r="Q48"/>
      <c r="R48"/>
      <c r="S48"/>
      <c r="T48"/>
      <c r="U48"/>
      <c r="V48"/>
      <c r="W48"/>
      <c r="X48"/>
    </row>
    <row r="49" spans="1:24" s="88" customFormat="1" ht="14.25" customHeight="1" x14ac:dyDescent="0.45">
      <c r="A49" s="114"/>
      <c r="B49" s="407"/>
      <c r="C49" s="405" t="s">
        <v>109</v>
      </c>
      <c r="D49" s="405"/>
      <c r="E49" s="405"/>
      <c r="F49" s="405"/>
      <c r="G49" s="405"/>
      <c r="H49" s="118"/>
      <c r="I49" s="118"/>
      <c r="J49" s="118"/>
      <c r="K49"/>
      <c r="L49"/>
      <c r="M49"/>
      <c r="N49"/>
      <c r="O49"/>
      <c r="P49"/>
      <c r="Q49"/>
      <c r="R49"/>
      <c r="S49"/>
      <c r="T49"/>
      <c r="U49"/>
      <c r="V49"/>
      <c r="W49"/>
      <c r="X49"/>
    </row>
    <row r="50" spans="1:24" s="88" customFormat="1" ht="14.25" customHeight="1" x14ac:dyDescent="0.45">
      <c r="A50" s="114"/>
      <c r="B50" s="406"/>
      <c r="C50" s="206" t="s">
        <v>191</v>
      </c>
      <c r="D50" s="206" t="s">
        <v>190</v>
      </c>
      <c r="E50" s="206" t="s">
        <v>189</v>
      </c>
      <c r="F50" s="206" t="s">
        <v>188</v>
      </c>
      <c r="G50" s="206" t="s">
        <v>192</v>
      </c>
      <c r="H50" s="207" t="s">
        <v>187</v>
      </c>
      <c r="I50" s="154"/>
      <c r="J50" s="118"/>
      <c r="K50"/>
      <c r="L50"/>
      <c r="M50"/>
      <c r="N50"/>
      <c r="O50"/>
      <c r="P50"/>
      <c r="Q50"/>
      <c r="R50"/>
      <c r="S50"/>
      <c r="T50"/>
      <c r="U50"/>
      <c r="V50"/>
      <c r="W50"/>
      <c r="X50"/>
    </row>
    <row r="51" spans="1:24" s="88" customFormat="1" ht="14.25" customHeight="1" x14ac:dyDescent="0.45">
      <c r="A51" s="114"/>
      <c r="B51" s="146" t="s">
        <v>155</v>
      </c>
      <c r="C51" s="180">
        <v>1.6174863387978142</v>
      </c>
      <c r="D51" s="180">
        <v>2.0235053653551356</v>
      </c>
      <c r="E51" s="180">
        <v>1.950503355704698</v>
      </c>
      <c r="F51" s="180">
        <v>2.2671897584142062</v>
      </c>
      <c r="G51" s="180">
        <v>2.3982869379014988</v>
      </c>
      <c r="H51" s="118"/>
      <c r="I51" s="154"/>
      <c r="J51" s="118"/>
      <c r="K51"/>
      <c r="L51"/>
      <c r="M51"/>
      <c r="N51"/>
      <c r="O51"/>
      <c r="P51"/>
      <c r="Q51"/>
      <c r="R51"/>
      <c r="S51"/>
      <c r="T51"/>
      <c r="U51"/>
      <c r="V51"/>
      <c r="W51"/>
      <c r="X51"/>
    </row>
    <row r="52" spans="1:24" s="88" customFormat="1" ht="14.25" customHeight="1" x14ac:dyDescent="0.45">
      <c r="A52" s="114"/>
      <c r="B52" s="146" t="s">
        <v>159</v>
      </c>
      <c r="C52" s="180">
        <v>74</v>
      </c>
      <c r="D52" s="180">
        <v>66</v>
      </c>
      <c r="E52" s="180">
        <v>66.428571428571431</v>
      </c>
      <c r="F52" s="180">
        <v>61</v>
      </c>
      <c r="G52" s="180">
        <v>56</v>
      </c>
      <c r="H52" s="118"/>
      <c r="I52" s="154"/>
      <c r="J52" s="118"/>
      <c r="K52"/>
      <c r="L52"/>
      <c r="M52"/>
      <c r="N52"/>
      <c r="O52"/>
      <c r="P52"/>
      <c r="Q52"/>
      <c r="R52"/>
      <c r="S52"/>
      <c r="T52"/>
      <c r="U52"/>
      <c r="V52"/>
      <c r="W52"/>
      <c r="X52"/>
    </row>
    <row r="53" spans="1:24" s="88" customFormat="1" ht="14.25" customHeight="1" x14ac:dyDescent="0.45">
      <c r="A53" s="114"/>
      <c r="B53" s="146" t="s">
        <v>156</v>
      </c>
      <c r="C53" s="180">
        <v>4.7639484978540771</v>
      </c>
      <c r="D53" s="180">
        <v>4.7962382445141065</v>
      </c>
      <c r="E53" s="180">
        <v>5.2207961714161417</v>
      </c>
      <c r="F53" s="180">
        <v>5.4332386363636367</v>
      </c>
      <c r="G53" s="180">
        <v>5.4069767441860463</v>
      </c>
      <c r="H53" s="118"/>
      <c r="I53" s="154"/>
      <c r="J53" s="118"/>
      <c r="K53"/>
      <c r="L53"/>
      <c r="M53"/>
      <c r="N53"/>
      <c r="O53"/>
      <c r="P53"/>
      <c r="Q53"/>
      <c r="R53"/>
      <c r="S53"/>
      <c r="T53"/>
      <c r="U53"/>
      <c r="V53"/>
      <c r="W53"/>
      <c r="X53"/>
    </row>
    <row r="54" spans="1:24" s="88" customFormat="1" ht="14.25" customHeight="1" x14ac:dyDescent="0.45">
      <c r="A54" s="114"/>
      <c r="B54" s="146" t="s">
        <v>160</v>
      </c>
      <c r="C54" s="180">
        <v>37</v>
      </c>
      <c r="D54" s="180">
        <v>34</v>
      </c>
      <c r="E54" s="180">
        <v>33.333333333333336</v>
      </c>
      <c r="F54" s="180">
        <v>31.875</v>
      </c>
      <c r="G54" s="180">
        <v>31</v>
      </c>
      <c r="H54" s="118"/>
      <c r="I54" s="154"/>
      <c r="J54" s="118"/>
      <c r="K54"/>
      <c r="L54"/>
      <c r="M54"/>
      <c r="N54"/>
      <c r="O54"/>
      <c r="P54"/>
      <c r="Q54"/>
      <c r="R54"/>
      <c r="S54"/>
      <c r="T54"/>
      <c r="U54"/>
      <c r="V54"/>
      <c r="W54"/>
      <c r="X54"/>
    </row>
    <row r="55" spans="1:24" s="88" customFormat="1" ht="14.25" customHeight="1" x14ac:dyDescent="0.45">
      <c r="A55" s="114" t="s">
        <v>193</v>
      </c>
      <c r="B55" s="208" t="s">
        <v>157</v>
      </c>
      <c r="C55" s="211">
        <v>7.1</v>
      </c>
      <c r="D55" s="211">
        <v>7.4</v>
      </c>
      <c r="E55" s="211">
        <v>9.3000000000000007</v>
      </c>
      <c r="F55" s="211">
        <v>8.9</v>
      </c>
      <c r="G55" s="211">
        <v>8.6999999999999993</v>
      </c>
      <c r="H55" s="118"/>
      <c r="I55" s="154"/>
      <c r="J55" s="118"/>
      <c r="K55"/>
      <c r="L55"/>
      <c r="M55"/>
      <c r="N55"/>
      <c r="O55"/>
      <c r="P55"/>
      <c r="Q55"/>
      <c r="R55"/>
      <c r="S55"/>
      <c r="T55"/>
      <c r="U55"/>
      <c r="V55"/>
      <c r="W55"/>
      <c r="X55"/>
    </row>
    <row r="56" spans="1:24" s="88" customFormat="1" ht="14.25" customHeight="1" x14ac:dyDescent="0.45">
      <c r="A56" s="114"/>
      <c r="B56" s="146" t="s">
        <v>161</v>
      </c>
      <c r="C56" s="205">
        <v>102</v>
      </c>
      <c r="D56" s="205">
        <v>90</v>
      </c>
      <c r="E56" s="205">
        <v>89.714285714285708</v>
      </c>
      <c r="F56" s="205">
        <v>78</v>
      </c>
      <c r="G56" s="205">
        <v>70</v>
      </c>
      <c r="H56" s="118"/>
      <c r="I56" s="154"/>
      <c r="J56" s="118"/>
      <c r="K56"/>
      <c r="L56"/>
      <c r="M56"/>
      <c r="N56"/>
      <c r="O56"/>
      <c r="P56"/>
      <c r="Q56"/>
      <c r="R56"/>
      <c r="S56"/>
      <c r="T56"/>
      <c r="U56"/>
      <c r="V56"/>
      <c r="W56"/>
      <c r="X56"/>
    </row>
    <row r="57" spans="1:24" s="88" customFormat="1" ht="14.25" customHeight="1" x14ac:dyDescent="0.45">
      <c r="A57" s="114"/>
      <c r="B57" s="208" t="s">
        <v>158</v>
      </c>
      <c r="C57" s="205">
        <v>6.0714285714285712</v>
      </c>
      <c r="D57" s="205">
        <v>5.9565217391304346</v>
      </c>
      <c r="E57" s="205">
        <v>6.4985881403791845</v>
      </c>
      <c r="F57" s="205">
        <v>6.709072648141948</v>
      </c>
      <c r="G57" s="205">
        <v>6.7787114845938374</v>
      </c>
      <c r="H57" s="118"/>
      <c r="I57" s="154"/>
      <c r="J57" s="118"/>
      <c r="K57"/>
      <c r="L57"/>
      <c r="M57"/>
      <c r="N57"/>
      <c r="O57"/>
      <c r="P57"/>
      <c r="Q57"/>
      <c r="R57"/>
      <c r="S57"/>
      <c r="T57"/>
      <c r="U57"/>
      <c r="V57"/>
      <c r="W57"/>
      <c r="X57"/>
    </row>
    <row r="58" spans="1:24" s="88" customFormat="1" ht="14.25" customHeight="1" x14ac:dyDescent="0.45">
      <c r="A58" s="114"/>
      <c r="B58" s="146" t="s">
        <v>162</v>
      </c>
      <c r="C58" s="205">
        <v>51</v>
      </c>
      <c r="D58" s="205">
        <v>45.666666666666664</v>
      </c>
      <c r="E58" s="205">
        <v>44.75</v>
      </c>
      <c r="F58" s="205">
        <v>41.75</v>
      </c>
      <c r="G58" s="205">
        <v>40.333333333333336</v>
      </c>
      <c r="H58" s="118"/>
      <c r="I58" s="154"/>
      <c r="J58" s="118"/>
      <c r="K58"/>
      <c r="L58"/>
      <c r="M58"/>
      <c r="N58"/>
      <c r="O58"/>
      <c r="P58"/>
      <c r="Q58"/>
      <c r="R58"/>
      <c r="S58"/>
      <c r="T58"/>
      <c r="U58"/>
      <c r="V58"/>
      <c r="W58"/>
      <c r="X58"/>
    </row>
    <row r="59" spans="1:24" s="88" customFormat="1" ht="14.25" customHeight="1" x14ac:dyDescent="0.4">
      <c r="A59" s="114"/>
      <c r="B59" s="115"/>
      <c r="C59" s="116"/>
      <c r="D59" s="116"/>
      <c r="E59" s="116"/>
      <c r="F59" s="116"/>
      <c r="G59" s="116"/>
      <c r="H59" s="117"/>
      <c r="I59" s="118"/>
      <c r="J59" s="118"/>
      <c r="K59" s="99"/>
      <c r="L59" s="99"/>
      <c r="M59" s="99"/>
      <c r="N59" s="99"/>
      <c r="O59" s="99"/>
      <c r="P59" s="99"/>
      <c r="Q59" s="99"/>
      <c r="R59" s="99"/>
      <c r="S59" s="99"/>
      <c r="T59" s="99"/>
      <c r="U59" s="99"/>
      <c r="V59" s="99"/>
      <c r="W59" s="99"/>
    </row>
    <row r="60" spans="1:24" s="88" customFormat="1" ht="14.25" customHeight="1" x14ac:dyDescent="0.4">
      <c r="A60" s="114"/>
      <c r="B60" s="147" t="s">
        <v>29</v>
      </c>
      <c r="C60" s="122"/>
      <c r="D60" s="116"/>
      <c r="E60" s="154"/>
      <c r="F60" s="154"/>
      <c r="G60" s="116"/>
      <c r="H60" s="117"/>
      <c r="I60" s="118"/>
      <c r="J60" s="119"/>
      <c r="K60" s="99"/>
      <c r="L60" s="99"/>
      <c r="M60" s="99"/>
      <c r="N60" s="99"/>
      <c r="O60" s="99"/>
      <c r="P60" s="99"/>
      <c r="Q60" s="99"/>
      <c r="R60" s="99"/>
      <c r="S60" s="99"/>
      <c r="T60" s="99"/>
      <c r="U60" s="99"/>
      <c r="V60" s="99"/>
      <c r="W60" s="99"/>
    </row>
    <row r="61" spans="1:24" s="88" customFormat="1" ht="14.25" customHeight="1" x14ac:dyDescent="0.4">
      <c r="A61" s="114"/>
      <c r="B61" s="167" t="s">
        <v>125</v>
      </c>
      <c r="C61" s="175">
        <f ca="1">OFFSET(B61,C69,1)</f>
        <v>3</v>
      </c>
      <c r="D61" s="167" t="s">
        <v>101</v>
      </c>
      <c r="E61" s="176">
        <v>1</v>
      </c>
      <c r="F61" s="167" t="s">
        <v>123</v>
      </c>
      <c r="G61" s="175">
        <v>4</v>
      </c>
      <c r="H61" s="168" t="s">
        <v>126</v>
      </c>
      <c r="I61" s="175">
        <v>1</v>
      </c>
      <c r="J61" s="119"/>
      <c r="K61" s="99"/>
      <c r="L61" s="99"/>
      <c r="M61" s="99"/>
      <c r="N61" s="99"/>
      <c r="O61" s="99"/>
      <c r="P61" s="99"/>
      <c r="Q61" s="99"/>
      <c r="R61" s="99"/>
      <c r="S61" s="99"/>
      <c r="T61" s="99"/>
      <c r="U61" s="99"/>
      <c r="V61" s="99"/>
      <c r="W61" s="99"/>
    </row>
    <row r="62" spans="1:24" s="88" customFormat="1" ht="14.25" customHeight="1" x14ac:dyDescent="0.4">
      <c r="A62" s="114"/>
      <c r="B62" s="155" t="s">
        <v>130</v>
      </c>
      <c r="C62" s="209">
        <v>0.5</v>
      </c>
      <c r="D62" s="203" t="s">
        <v>103</v>
      </c>
      <c r="E62" s="120"/>
      <c r="F62" s="187" t="s">
        <v>170</v>
      </c>
      <c r="G62" s="190" t="str">
        <f>IF(E61=1,F62,"N/A")</f>
        <v>Default</v>
      </c>
      <c r="H62" s="148" t="s">
        <v>31</v>
      </c>
      <c r="I62" s="160"/>
      <c r="J62" s="119"/>
      <c r="K62" s="99"/>
      <c r="L62" s="99"/>
      <c r="M62" s="99"/>
      <c r="N62" s="99"/>
      <c r="O62" s="99"/>
      <c r="P62" s="99"/>
      <c r="Q62" s="99"/>
      <c r="R62" s="99"/>
      <c r="S62" s="99"/>
      <c r="T62" s="99"/>
      <c r="U62" s="99"/>
      <c r="V62" s="99"/>
      <c r="W62" s="99"/>
    </row>
    <row r="63" spans="1:24" s="88" customFormat="1" ht="14.25" customHeight="1" x14ac:dyDescent="0.4">
      <c r="A63" s="114"/>
      <c r="B63" s="155" t="s">
        <v>131</v>
      </c>
      <c r="C63" s="209">
        <v>0.75</v>
      </c>
      <c r="D63" s="156"/>
      <c r="E63" s="157"/>
      <c r="F63" s="162" t="s">
        <v>192</v>
      </c>
      <c r="G63" s="158" t="str">
        <f>IF(E61=1,CONCATENATE(F63," hp"),"N/A")</f>
        <v>0.72 hhp (1-1.4 HP) hp</v>
      </c>
      <c r="H63" s="148" t="s">
        <v>32</v>
      </c>
      <c r="I63" s="160"/>
      <c r="J63" s="119"/>
      <c r="K63" s="99"/>
      <c r="L63" s="99"/>
      <c r="M63" s="99"/>
      <c r="N63" s="99"/>
      <c r="O63" s="99"/>
      <c r="P63" s="99"/>
      <c r="Q63" s="99"/>
      <c r="R63" s="99"/>
      <c r="S63" s="99"/>
      <c r="T63" s="99"/>
      <c r="U63" s="99"/>
      <c r="V63" s="99"/>
      <c r="W63" s="99"/>
    </row>
    <row r="64" spans="1:24" s="88" customFormat="1" ht="14.25" customHeight="1" x14ac:dyDescent="0.4">
      <c r="A64" s="114"/>
      <c r="B64" s="155" t="s">
        <v>132</v>
      </c>
      <c r="C64" s="158">
        <v>1</v>
      </c>
      <c r="D64" s="121"/>
      <c r="E64" s="121"/>
      <c r="F64" s="162" t="s">
        <v>188</v>
      </c>
      <c r="G64" s="158" t="str">
        <f>IF(E61=1,CONCATENATE(F64," hp"),"N/A")</f>
        <v>0.95 hhp (1.65 HP) hp</v>
      </c>
      <c r="H64" s="163" t="s">
        <v>33</v>
      </c>
      <c r="I64" s="161"/>
      <c r="J64" s="119"/>
      <c r="K64" s="99"/>
      <c r="L64" s="99"/>
      <c r="M64" s="99"/>
      <c r="N64" s="99"/>
      <c r="O64" s="99"/>
      <c r="P64" s="99"/>
      <c r="Q64" s="99"/>
      <c r="R64" s="99"/>
      <c r="S64" s="99"/>
      <c r="T64" s="99"/>
      <c r="U64" s="99"/>
      <c r="V64" s="99"/>
      <c r="W64" s="99"/>
    </row>
    <row r="65" spans="1:23" s="88" customFormat="1" ht="14.25" customHeight="1" x14ac:dyDescent="0.4">
      <c r="A65" s="114"/>
      <c r="B65" s="155" t="s">
        <v>133</v>
      </c>
      <c r="C65" s="158">
        <v>1.5</v>
      </c>
      <c r="D65" s="121"/>
      <c r="E65" s="121"/>
      <c r="F65" s="162" t="s">
        <v>189</v>
      </c>
      <c r="G65" s="158" t="str">
        <f>IF(E61=1,CONCATENATE(F65," hp"),"N/A")</f>
        <v>1.18 hhp (2 HP) hp</v>
      </c>
      <c r="H65" s="117"/>
      <c r="I65" s="118"/>
      <c r="J65" s="119"/>
      <c r="K65" s="99"/>
      <c r="L65" s="99"/>
      <c r="M65" s="99"/>
      <c r="N65" s="99"/>
      <c r="O65" s="99"/>
      <c r="P65" s="99"/>
      <c r="Q65" s="99"/>
      <c r="R65" s="99"/>
      <c r="S65" s="99"/>
      <c r="T65" s="99"/>
      <c r="U65" s="99"/>
      <c r="V65" s="99"/>
      <c r="W65" s="99"/>
    </row>
    <row r="66" spans="1:23" s="88" customFormat="1" ht="14.25" customHeight="1" x14ac:dyDescent="0.4">
      <c r="A66" s="114"/>
      <c r="B66" s="155" t="s">
        <v>134</v>
      </c>
      <c r="C66" s="158">
        <v>2</v>
      </c>
      <c r="D66" s="121"/>
      <c r="E66" s="121"/>
      <c r="F66" s="162" t="s">
        <v>190</v>
      </c>
      <c r="G66" s="158" t="str">
        <f>IF(E61=1,CONCATENATE(F66," hp"),"N/A")</f>
        <v>1.25 hhp (2.5 HP) hp</v>
      </c>
      <c r="H66" s="117"/>
      <c r="I66" s="118"/>
      <c r="J66" s="119"/>
      <c r="K66" s="99"/>
      <c r="L66" s="99"/>
      <c r="M66" s="99"/>
      <c r="N66" s="99"/>
      <c r="O66" s="99"/>
      <c r="P66" s="99"/>
      <c r="Q66" s="99"/>
      <c r="R66" s="99"/>
      <c r="S66" s="99"/>
      <c r="T66" s="99"/>
      <c r="U66" s="99"/>
      <c r="V66" s="99"/>
      <c r="W66" s="99"/>
    </row>
    <row r="67" spans="1:23" s="88" customFormat="1" ht="14.25" customHeight="1" x14ac:dyDescent="0.4">
      <c r="A67" s="114"/>
      <c r="B67" s="155" t="s">
        <v>135</v>
      </c>
      <c r="C67" s="158">
        <v>2.5</v>
      </c>
      <c r="D67" s="121"/>
      <c r="E67" s="121"/>
      <c r="F67" s="165" t="s">
        <v>191</v>
      </c>
      <c r="G67" s="159" t="str">
        <f>IF(E61=1,CONCATENATE(F67," hp"),"N/A")</f>
        <v>1.65 hhp (3 HP) hp</v>
      </c>
      <c r="H67" s="117"/>
      <c r="I67" s="118"/>
      <c r="J67" s="119"/>
      <c r="K67" s="99"/>
      <c r="L67" s="99"/>
      <c r="M67" s="99"/>
      <c r="N67" s="99"/>
      <c r="O67" s="99"/>
      <c r="P67" s="99"/>
      <c r="Q67" s="99"/>
      <c r="R67" s="99"/>
      <c r="S67" s="99"/>
      <c r="T67" s="99"/>
      <c r="U67" s="99"/>
      <c r="V67" s="99"/>
      <c r="W67" s="99"/>
    </row>
    <row r="68" spans="1:23" s="88" customFormat="1" ht="14.25" customHeight="1" x14ac:dyDescent="0.4">
      <c r="A68" s="114"/>
      <c r="B68" s="156" t="s">
        <v>136</v>
      </c>
      <c r="C68" s="159">
        <v>3</v>
      </c>
      <c r="D68" s="148"/>
      <c r="E68" s="121"/>
      <c r="F68" s="121"/>
      <c r="G68" s="164"/>
      <c r="H68" s="117"/>
      <c r="I68" s="118"/>
      <c r="J68" s="119"/>
      <c r="K68" s="99"/>
      <c r="L68" s="99"/>
      <c r="M68" s="99"/>
      <c r="N68" s="99"/>
      <c r="O68" s="99"/>
      <c r="P68" s="99"/>
      <c r="Q68" s="99"/>
      <c r="R68" s="99"/>
      <c r="S68" s="99"/>
      <c r="T68" s="99"/>
      <c r="U68" s="99"/>
      <c r="V68" s="99"/>
      <c r="W68" s="99"/>
    </row>
    <row r="69" spans="1:23" s="88" customFormat="1" ht="14.25" customHeight="1" x14ac:dyDescent="0.4">
      <c r="A69" s="114"/>
      <c r="B69" s="115"/>
      <c r="C69" s="184">
        <v>7</v>
      </c>
      <c r="D69" s="116"/>
      <c r="E69" s="116"/>
      <c r="F69" s="116"/>
      <c r="G69" s="116"/>
      <c r="H69" s="117"/>
      <c r="I69" s="118"/>
      <c r="J69" s="119"/>
      <c r="K69" s="99"/>
      <c r="L69" s="99"/>
      <c r="M69" s="99"/>
      <c r="N69" s="99"/>
      <c r="O69" s="99"/>
      <c r="P69" s="99"/>
      <c r="Q69" s="99"/>
      <c r="R69" s="99"/>
      <c r="S69" s="99"/>
      <c r="T69" s="99"/>
      <c r="U69" s="99"/>
      <c r="V69" s="99"/>
      <c r="W69" s="99"/>
    </row>
    <row r="70" spans="1:23" s="93" customFormat="1" ht="14.25" customHeight="1" x14ac:dyDescent="0.3">
      <c r="A70" s="129"/>
      <c r="B70" s="130"/>
      <c r="C70" s="130"/>
      <c r="D70" s="130"/>
      <c r="E70" s="131"/>
      <c r="F70" s="131"/>
      <c r="G70" s="129"/>
      <c r="H70" s="129"/>
      <c r="I70" s="76"/>
    </row>
    <row r="71" spans="1:23" s="93" customFormat="1" ht="21" customHeight="1" x14ac:dyDescent="0.3">
      <c r="A71" s="141" t="s">
        <v>117</v>
      </c>
      <c r="C71" s="132"/>
      <c r="D71" s="132"/>
      <c r="E71" s="133"/>
      <c r="F71" s="133"/>
      <c r="I71" s="76"/>
    </row>
    <row r="72" spans="1:23" ht="14.25" customHeight="1" x14ac:dyDescent="0.4">
      <c r="A72" s="124"/>
      <c r="B72" s="144" t="s">
        <v>118</v>
      </c>
      <c r="C72" s="193"/>
      <c r="D72" s="191" t="s">
        <v>115</v>
      </c>
      <c r="E72" s="192"/>
      <c r="F72" s="192"/>
      <c r="G72" s="192"/>
      <c r="H72" s="89"/>
      <c r="I72" s="98"/>
      <c r="J72" s="124"/>
      <c r="K72" s="124"/>
      <c r="L72" s="124"/>
      <c r="M72" s="124"/>
      <c r="N72" s="123"/>
      <c r="O72" s="123"/>
      <c r="P72" s="123"/>
      <c r="Q72" s="123"/>
      <c r="R72" s="123"/>
      <c r="S72" s="123"/>
      <c r="T72" s="123"/>
      <c r="U72" s="123"/>
      <c r="V72" s="123"/>
      <c r="W72" s="123"/>
    </row>
    <row r="73" spans="1:23" ht="14.25" customHeight="1" x14ac:dyDescent="0.4">
      <c r="A73" s="124"/>
      <c r="B73" s="144" t="s">
        <v>120</v>
      </c>
      <c r="C73" s="123"/>
      <c r="D73" s="143" t="s">
        <v>116</v>
      </c>
      <c r="E73" s="194"/>
      <c r="F73" s="142"/>
      <c r="G73" s="126"/>
      <c r="H73" s="89"/>
      <c r="I73" s="98"/>
      <c r="J73" s="124"/>
      <c r="K73" s="124"/>
      <c r="L73" s="124"/>
      <c r="M73" s="124"/>
      <c r="N73" s="123"/>
      <c r="O73" s="123"/>
      <c r="P73" s="123"/>
      <c r="Q73" s="123"/>
      <c r="R73" s="123"/>
      <c r="S73" s="123"/>
      <c r="T73" s="123"/>
      <c r="U73" s="123"/>
      <c r="V73" s="123"/>
      <c r="W73" s="123"/>
    </row>
    <row r="74" spans="1:23" ht="14.25" customHeight="1" x14ac:dyDescent="0.4">
      <c r="A74" s="124"/>
      <c r="B74" s="144" t="s">
        <v>173</v>
      </c>
      <c r="C74" s="195"/>
      <c r="D74" s="143" t="s">
        <v>124</v>
      </c>
      <c r="E74" s="194"/>
      <c r="F74" s="142"/>
      <c r="G74" s="126"/>
      <c r="H74" s="178"/>
      <c r="I74" s="98"/>
      <c r="J74" s="124"/>
      <c r="K74" s="124"/>
      <c r="L74" s="124"/>
      <c r="M74" s="124"/>
      <c r="N74" s="123"/>
      <c r="O74" s="123"/>
      <c r="P74" s="123"/>
      <c r="Q74" s="123"/>
      <c r="R74" s="123"/>
      <c r="S74" s="123"/>
      <c r="T74" s="123"/>
      <c r="U74" s="123"/>
      <c r="V74" s="123"/>
      <c r="W74" s="123"/>
    </row>
    <row r="75" spans="1:23" ht="14.25" customHeight="1" x14ac:dyDescent="0.4">
      <c r="A75" s="124"/>
      <c r="B75" s="144" t="s">
        <v>121</v>
      </c>
      <c r="C75" s="123"/>
      <c r="D75" s="143" t="s">
        <v>149</v>
      </c>
      <c r="E75" s="194"/>
      <c r="F75" s="142"/>
      <c r="G75" s="126"/>
      <c r="H75" s="89"/>
      <c r="I75" s="98"/>
      <c r="J75" s="124"/>
      <c r="K75" s="124"/>
      <c r="L75" s="124"/>
      <c r="M75" s="124"/>
      <c r="N75" s="123"/>
      <c r="O75" s="123"/>
      <c r="P75" s="123"/>
      <c r="Q75" s="123"/>
      <c r="R75" s="123"/>
      <c r="S75" s="123"/>
      <c r="T75" s="123"/>
      <c r="U75" s="123"/>
      <c r="V75" s="123"/>
      <c r="W75" s="123"/>
    </row>
    <row r="76" spans="1:23" ht="14.25" customHeight="1" x14ac:dyDescent="0.4">
      <c r="A76" s="124"/>
      <c r="B76" s="144"/>
      <c r="C76" s="123"/>
      <c r="D76" s="143" t="s">
        <v>150</v>
      </c>
      <c r="E76" s="194"/>
      <c r="F76" s="142"/>
      <c r="G76" s="126"/>
      <c r="H76" s="89"/>
      <c r="I76" s="98"/>
      <c r="J76" s="124"/>
      <c r="K76" s="124"/>
      <c r="L76" s="124"/>
      <c r="M76" s="124"/>
      <c r="N76" s="123"/>
      <c r="O76" s="123"/>
      <c r="P76" s="123"/>
      <c r="Q76" s="123"/>
      <c r="R76" s="123"/>
      <c r="S76" s="123"/>
      <c r="T76" s="123"/>
      <c r="U76" s="123"/>
      <c r="V76" s="123"/>
      <c r="W76" s="123"/>
    </row>
    <row r="77" spans="1:23" ht="14.25" customHeight="1" x14ac:dyDescent="0.4">
      <c r="A77" s="124"/>
      <c r="B77" s="144"/>
      <c r="C77" s="123"/>
      <c r="D77" s="143" t="s">
        <v>148</v>
      </c>
      <c r="E77" s="194"/>
      <c r="F77" s="142"/>
      <c r="G77" s="126"/>
      <c r="H77" s="89"/>
      <c r="I77" s="98"/>
      <c r="J77" s="124"/>
      <c r="K77" s="124"/>
      <c r="L77" s="124"/>
      <c r="M77" s="124"/>
      <c r="N77" s="123"/>
      <c r="O77" s="123"/>
      <c r="P77" s="123"/>
      <c r="Q77" s="123"/>
      <c r="R77" s="123"/>
      <c r="S77" s="123"/>
      <c r="T77" s="123"/>
      <c r="U77" s="123"/>
      <c r="V77" s="123"/>
      <c r="W77" s="123"/>
    </row>
    <row r="78" spans="1:23" ht="14.25" customHeight="1" x14ac:dyDescent="0.4">
      <c r="A78" s="124"/>
      <c r="B78" s="144" t="s">
        <v>119</v>
      </c>
      <c r="C78" s="123"/>
      <c r="D78" s="143" t="s">
        <v>113</v>
      </c>
      <c r="E78" s="194"/>
      <c r="F78" s="142"/>
      <c r="G78" s="126"/>
      <c r="H78" s="89"/>
      <c r="I78" s="98"/>
      <c r="J78" s="124"/>
      <c r="K78" s="124"/>
      <c r="L78" s="124"/>
      <c r="M78" s="124"/>
      <c r="N78" s="123"/>
      <c r="O78" s="123"/>
      <c r="P78" s="123"/>
      <c r="Q78" s="123"/>
      <c r="R78" s="123"/>
      <c r="S78" s="123"/>
      <c r="T78" s="123"/>
      <c r="U78" s="123"/>
      <c r="V78" s="123"/>
      <c r="W78" s="123"/>
    </row>
    <row r="79" spans="1:23" ht="14.25" customHeight="1" x14ac:dyDescent="0.4">
      <c r="A79" s="124"/>
      <c r="B79" s="186" t="s">
        <v>182</v>
      </c>
      <c r="C79" s="186"/>
      <c r="D79" s="143" t="s">
        <v>184</v>
      </c>
      <c r="E79" s="194"/>
      <c r="F79" s="142"/>
      <c r="G79" s="126"/>
      <c r="H79" s="89"/>
      <c r="I79" s="98"/>
      <c r="J79" s="124"/>
      <c r="K79" s="124"/>
      <c r="L79" s="124"/>
      <c r="M79" s="124"/>
      <c r="N79" s="123"/>
      <c r="O79" s="123"/>
      <c r="P79" s="123"/>
      <c r="Q79" s="123"/>
      <c r="R79" s="123"/>
      <c r="S79" s="123"/>
      <c r="T79" s="123"/>
      <c r="U79" s="123"/>
      <c r="V79" s="123"/>
      <c r="W79" s="123"/>
    </row>
    <row r="80" spans="1:23" ht="14.25" customHeight="1" x14ac:dyDescent="0.4">
      <c r="A80" s="124"/>
      <c r="B80" s="186"/>
      <c r="C80" s="186"/>
      <c r="D80" s="186"/>
      <c r="E80" s="125"/>
      <c r="F80" s="126"/>
      <c r="G80" s="126"/>
      <c r="H80" s="126"/>
      <c r="I80" s="98"/>
      <c r="J80" s="124"/>
      <c r="K80" s="124"/>
      <c r="L80" s="124"/>
      <c r="M80" s="124"/>
      <c r="N80" s="123"/>
      <c r="O80" s="123"/>
      <c r="P80" s="123"/>
      <c r="Q80" s="123"/>
      <c r="R80" s="123"/>
      <c r="S80" s="123"/>
      <c r="T80" s="123"/>
      <c r="U80" s="123"/>
      <c r="V80" s="123"/>
      <c r="W80" s="123"/>
    </row>
    <row r="81" spans="1:23" ht="14.25" customHeight="1" x14ac:dyDescent="0.4">
      <c r="A81" s="124"/>
      <c r="B81" s="125"/>
      <c r="C81" s="89"/>
      <c r="D81" s="89"/>
      <c r="E81" s="89"/>
      <c r="F81" s="89"/>
      <c r="G81" s="89"/>
      <c r="H81" s="89"/>
      <c r="I81" s="124"/>
      <c r="J81" s="124"/>
      <c r="K81" s="124"/>
      <c r="L81" s="124"/>
      <c r="M81" s="124"/>
      <c r="N81" s="123"/>
      <c r="O81" s="123"/>
      <c r="P81" s="123"/>
      <c r="Q81" s="123"/>
      <c r="R81" s="123"/>
      <c r="S81" s="123"/>
      <c r="T81" s="123"/>
      <c r="U81" s="123"/>
      <c r="V81" s="123"/>
      <c r="W81" s="123"/>
    </row>
    <row r="82" spans="1:23" ht="14.25" customHeight="1" x14ac:dyDescent="0.4">
      <c r="A82" s="124"/>
      <c r="B82" s="125"/>
      <c r="C82" s="89"/>
      <c r="D82" s="89"/>
      <c r="E82" s="89"/>
      <c r="F82" s="89"/>
      <c r="G82" s="89"/>
      <c r="H82" s="89"/>
      <c r="I82" s="124"/>
      <c r="J82" s="124"/>
      <c r="K82" s="124"/>
      <c r="L82" s="124"/>
      <c r="M82" s="124"/>
      <c r="N82" s="123"/>
      <c r="O82" s="123"/>
      <c r="P82" s="123"/>
      <c r="Q82" s="123"/>
      <c r="R82" s="123"/>
      <c r="S82" s="123"/>
      <c r="T82" s="123"/>
      <c r="U82" s="123"/>
      <c r="V82" s="123"/>
      <c r="W82" s="123"/>
    </row>
    <row r="83" spans="1:23" ht="14.25" customHeight="1" x14ac:dyDescent="0.4">
      <c r="A83" s="124"/>
      <c r="B83" s="125"/>
      <c r="C83" s="89"/>
      <c r="D83" s="89"/>
      <c r="E83" s="89"/>
      <c r="F83" s="89"/>
      <c r="G83" s="89"/>
      <c r="H83" s="89"/>
      <c r="I83" s="124"/>
      <c r="J83" s="124"/>
      <c r="K83" s="124"/>
      <c r="L83" s="124"/>
      <c r="M83" s="124"/>
      <c r="N83" s="123"/>
      <c r="O83" s="123"/>
      <c r="P83" s="123"/>
      <c r="Q83" s="123"/>
      <c r="R83" s="123"/>
      <c r="S83" s="123"/>
      <c r="T83" s="123"/>
      <c r="U83" s="123"/>
      <c r="V83" s="123"/>
      <c r="W83" s="123"/>
    </row>
    <row r="84" spans="1:23" ht="14.25" customHeight="1" x14ac:dyDescent="0.4">
      <c r="A84" s="124"/>
      <c r="B84" s="125"/>
      <c r="C84" s="89"/>
      <c r="D84" s="89"/>
      <c r="E84" s="89"/>
      <c r="F84" s="89"/>
      <c r="G84" s="89"/>
      <c r="H84" s="89"/>
      <c r="I84" s="124"/>
      <c r="J84" s="124"/>
      <c r="K84" s="124"/>
      <c r="L84" s="124"/>
      <c r="M84" s="124"/>
      <c r="N84" s="123"/>
      <c r="O84" s="123"/>
      <c r="P84" s="123"/>
      <c r="Q84" s="123"/>
      <c r="R84" s="123"/>
      <c r="S84" s="123"/>
      <c r="T84" s="123"/>
      <c r="U84" s="123"/>
      <c r="V84" s="123"/>
      <c r="W84" s="123"/>
    </row>
    <row r="85" spans="1:23" ht="14.25" customHeight="1" x14ac:dyDescent="0.4">
      <c r="A85" s="124"/>
      <c r="B85" s="125"/>
      <c r="C85" s="89"/>
      <c r="D85" s="89"/>
      <c r="E85" s="89"/>
      <c r="F85" s="89"/>
      <c r="G85" s="89"/>
      <c r="H85" s="89"/>
      <c r="I85" s="124"/>
      <c r="J85" s="124"/>
      <c r="K85" s="124"/>
      <c r="L85" s="124"/>
      <c r="M85" s="124"/>
      <c r="N85" s="123"/>
      <c r="O85" s="123"/>
      <c r="P85" s="123"/>
      <c r="Q85" s="123"/>
      <c r="R85" s="123"/>
      <c r="S85" s="123"/>
      <c r="T85" s="123"/>
      <c r="U85" s="123"/>
      <c r="V85" s="123"/>
      <c r="W85" s="123"/>
    </row>
    <row r="86" spans="1:23" ht="14.25" customHeight="1" x14ac:dyDescent="0.4">
      <c r="A86" s="124"/>
      <c r="B86" s="125"/>
      <c r="C86" s="89"/>
      <c r="D86" s="89"/>
      <c r="E86" s="89"/>
      <c r="F86" s="89"/>
      <c r="G86" s="89"/>
      <c r="H86" s="127"/>
      <c r="I86" s="124"/>
      <c r="J86" s="124"/>
      <c r="K86" s="124"/>
      <c r="L86" s="124"/>
      <c r="M86" s="124"/>
      <c r="N86" s="123"/>
      <c r="O86" s="123"/>
      <c r="P86" s="123"/>
      <c r="Q86" s="123"/>
      <c r="R86" s="123"/>
      <c r="S86" s="123"/>
      <c r="T86" s="123"/>
      <c r="U86" s="123"/>
      <c r="V86" s="123"/>
      <c r="W86" s="123"/>
    </row>
    <row r="87" spans="1:23" ht="14.25" customHeight="1" x14ac:dyDescent="0.4">
      <c r="A87" s="124"/>
      <c r="B87" s="125"/>
      <c r="C87" s="125"/>
      <c r="D87" s="125"/>
      <c r="E87" s="125"/>
      <c r="F87" s="126"/>
      <c r="G87" s="127"/>
      <c r="H87" s="127"/>
      <c r="I87" s="124"/>
      <c r="J87" s="124"/>
      <c r="K87" s="124"/>
      <c r="L87" s="124"/>
      <c r="M87" s="124"/>
      <c r="N87" s="123"/>
      <c r="O87" s="123"/>
      <c r="P87" s="123"/>
      <c r="Q87" s="123"/>
      <c r="R87" s="123"/>
      <c r="S87" s="123"/>
      <c r="T87" s="123"/>
      <c r="U87" s="123"/>
      <c r="V87" s="123"/>
      <c r="W87" s="123"/>
    </row>
    <row r="88" spans="1:23" ht="14.25" customHeight="1" x14ac:dyDescent="0.4">
      <c r="A88" s="124"/>
      <c r="B88" s="125"/>
      <c r="C88" s="125"/>
      <c r="D88" s="125"/>
      <c r="E88" s="125"/>
      <c r="F88" s="126"/>
      <c r="G88" s="127"/>
      <c r="H88" s="127"/>
      <c r="I88" s="124"/>
      <c r="J88" s="124"/>
      <c r="K88" s="124"/>
      <c r="L88" s="124"/>
      <c r="M88" s="124"/>
      <c r="N88" s="123"/>
      <c r="O88" s="123"/>
      <c r="P88" s="123"/>
      <c r="Q88" s="123"/>
      <c r="R88" s="123"/>
      <c r="S88" s="123"/>
      <c r="T88" s="123"/>
      <c r="U88" s="123"/>
      <c r="V88" s="123"/>
      <c r="W88" s="123"/>
    </row>
    <row r="89" spans="1:23" ht="14.25" customHeight="1" x14ac:dyDescent="0.4">
      <c r="A89" s="124"/>
      <c r="B89" s="125"/>
      <c r="C89" s="125"/>
      <c r="D89" s="125"/>
      <c r="E89" s="125"/>
      <c r="F89" s="126"/>
      <c r="G89" s="127"/>
      <c r="H89" s="127"/>
      <c r="I89" s="124"/>
      <c r="J89" s="124"/>
      <c r="K89" s="124"/>
      <c r="L89" s="124"/>
      <c r="M89" s="124"/>
      <c r="N89" s="123"/>
      <c r="O89" s="123"/>
      <c r="P89" s="123"/>
      <c r="Q89" s="123"/>
      <c r="R89" s="123"/>
      <c r="S89" s="123"/>
      <c r="T89" s="123"/>
      <c r="U89" s="123"/>
      <c r="V89" s="123"/>
      <c r="W89" s="123"/>
    </row>
    <row r="90" spans="1:23" ht="14.25" customHeight="1" x14ac:dyDescent="0.4">
      <c r="A90" s="124"/>
      <c r="B90" s="125"/>
      <c r="C90" s="125"/>
      <c r="D90" s="125"/>
      <c r="E90" s="125"/>
      <c r="F90" s="126"/>
      <c r="G90" s="127"/>
      <c r="H90" s="127"/>
      <c r="I90" s="124"/>
      <c r="J90" s="124"/>
      <c r="K90" s="124"/>
      <c r="L90" s="124"/>
      <c r="M90" s="124"/>
      <c r="N90" s="123"/>
      <c r="O90" s="123"/>
      <c r="P90" s="123"/>
      <c r="Q90" s="123"/>
      <c r="R90" s="123"/>
      <c r="S90" s="123"/>
      <c r="T90" s="123"/>
      <c r="U90" s="123"/>
      <c r="V90" s="123"/>
      <c r="W90" s="123"/>
    </row>
    <row r="91" spans="1:23" ht="14.25" customHeight="1" x14ac:dyDescent="0.4">
      <c r="A91" s="124"/>
      <c r="B91" s="125"/>
      <c r="C91" s="125"/>
      <c r="D91" s="125"/>
      <c r="E91" s="125"/>
      <c r="F91" s="126"/>
      <c r="G91" s="127"/>
      <c r="H91" s="127"/>
      <c r="I91" s="124"/>
      <c r="J91" s="124"/>
      <c r="K91" s="124"/>
      <c r="L91" s="124"/>
      <c r="M91" s="124"/>
      <c r="N91" s="123"/>
      <c r="O91" s="123"/>
      <c r="P91" s="123"/>
      <c r="Q91" s="123"/>
      <c r="R91" s="123"/>
      <c r="S91" s="123"/>
      <c r="T91" s="123"/>
      <c r="U91" s="123"/>
      <c r="V91" s="123"/>
      <c r="W91" s="123"/>
    </row>
    <row r="92" spans="1:23" ht="14.25" customHeight="1" x14ac:dyDescent="0.4">
      <c r="A92" s="124"/>
      <c r="B92" s="125"/>
      <c r="C92" s="125"/>
      <c r="D92" s="125"/>
      <c r="E92" s="125"/>
      <c r="F92" s="126"/>
      <c r="G92" s="127"/>
      <c r="H92" s="127"/>
      <c r="I92" s="124"/>
      <c r="J92" s="124"/>
      <c r="K92" s="124"/>
      <c r="L92" s="124"/>
      <c r="M92" s="124"/>
      <c r="N92" s="123"/>
      <c r="O92" s="123"/>
      <c r="P92" s="123"/>
      <c r="Q92" s="123"/>
      <c r="R92" s="123"/>
      <c r="S92" s="123"/>
      <c r="T92" s="123"/>
      <c r="U92" s="123"/>
      <c r="V92" s="123"/>
      <c r="W92" s="123"/>
    </row>
    <row r="93" spans="1:23" ht="14.25" customHeight="1" x14ac:dyDescent="0.4">
      <c r="A93" s="124"/>
      <c r="B93" s="125"/>
      <c r="C93" s="125"/>
      <c r="D93" s="125"/>
      <c r="E93" s="125"/>
      <c r="F93" s="126"/>
      <c r="G93" s="127"/>
      <c r="H93" s="127"/>
      <c r="I93" s="124"/>
      <c r="J93" s="124"/>
      <c r="K93" s="124"/>
      <c r="L93" s="124"/>
      <c r="M93" s="124"/>
      <c r="N93" s="123"/>
      <c r="O93" s="123"/>
      <c r="P93" s="123"/>
      <c r="Q93" s="123"/>
      <c r="R93" s="123"/>
      <c r="S93" s="123"/>
      <c r="T93" s="123"/>
      <c r="U93" s="123"/>
      <c r="V93" s="123"/>
      <c r="W93" s="123"/>
    </row>
    <row r="94" spans="1:23" ht="14.25" customHeight="1" x14ac:dyDescent="0.4">
      <c r="A94" s="124"/>
      <c r="B94" s="128"/>
      <c r="C94" s="128"/>
      <c r="D94" s="128"/>
      <c r="E94" s="128"/>
      <c r="F94" s="127"/>
      <c r="G94" s="127"/>
      <c r="H94" s="127"/>
      <c r="I94" s="124"/>
      <c r="J94" s="124"/>
      <c r="K94" s="124"/>
      <c r="L94" s="124"/>
      <c r="M94" s="124"/>
      <c r="N94" s="123"/>
      <c r="O94" s="123"/>
      <c r="P94" s="123"/>
      <c r="Q94" s="123"/>
      <c r="R94" s="123"/>
      <c r="S94" s="123"/>
      <c r="T94" s="123"/>
      <c r="U94" s="123"/>
      <c r="V94" s="123"/>
      <c r="W94" s="123"/>
    </row>
    <row r="95" spans="1:23" ht="14.25" customHeight="1" x14ac:dyDescent="0.4">
      <c r="A95" s="124"/>
      <c r="B95" s="128"/>
      <c r="C95" s="128"/>
      <c r="D95" s="128"/>
      <c r="E95" s="128"/>
      <c r="F95" s="127"/>
      <c r="G95" s="127"/>
      <c r="H95" s="127"/>
      <c r="I95" s="124"/>
      <c r="J95" s="124"/>
      <c r="K95" s="124"/>
      <c r="L95" s="124"/>
      <c r="M95" s="124"/>
      <c r="N95" s="123"/>
      <c r="O95" s="123"/>
      <c r="P95" s="123"/>
      <c r="Q95" s="123"/>
      <c r="R95" s="123"/>
      <c r="S95" s="123"/>
      <c r="T95" s="123"/>
      <c r="U95" s="123"/>
      <c r="V95" s="123"/>
      <c r="W95" s="123"/>
    </row>
  </sheetData>
  <sheetProtection deleteColumns="0" deleteRows="0" sort="0" autoFilter="0" pivotTables="0"/>
  <mergeCells count="31">
    <mergeCell ref="B31:B32"/>
    <mergeCell ref="B33:B34"/>
    <mergeCell ref="B41:B42"/>
    <mergeCell ref="C41:I41"/>
    <mergeCell ref="B49:B50"/>
    <mergeCell ref="C49:G49"/>
    <mergeCell ref="B30:C30"/>
    <mergeCell ref="B18:C18"/>
    <mergeCell ref="E18:I19"/>
    <mergeCell ref="B19:C19"/>
    <mergeCell ref="B20:C20"/>
    <mergeCell ref="B21:C21"/>
    <mergeCell ref="B24:C24"/>
    <mergeCell ref="B25:C25"/>
    <mergeCell ref="B26:C26"/>
    <mergeCell ref="B27:C27"/>
    <mergeCell ref="B28:C28"/>
    <mergeCell ref="B29:C29"/>
    <mergeCell ref="B10:C10"/>
    <mergeCell ref="B11:C11"/>
    <mergeCell ref="B12:C12"/>
    <mergeCell ref="B13:C13"/>
    <mergeCell ref="E13:I15"/>
    <mergeCell ref="B14:C14"/>
    <mergeCell ref="B15:C15"/>
    <mergeCell ref="B8:C8"/>
    <mergeCell ref="B3:C3"/>
    <mergeCell ref="B4:C4"/>
    <mergeCell ref="B5:C5"/>
    <mergeCell ref="B6:C6"/>
    <mergeCell ref="B7:C7"/>
  </mergeCells>
  <conditionalFormatting sqref="D23:D34">
    <cfRule type="expression" dxfId="5" priority="5">
      <formula>$E$61=2</formula>
    </cfRule>
  </conditionalFormatting>
  <conditionalFormatting sqref="B25:C25 E23:E25 E28:E34">
    <cfRule type="expression" dxfId="4" priority="6">
      <formula>$E$61=1</formula>
    </cfRule>
  </conditionalFormatting>
  <conditionalFormatting sqref="E26:E27">
    <cfRule type="expression" dxfId="3" priority="4">
      <formula>$E$61=2</formula>
    </cfRule>
  </conditionalFormatting>
  <conditionalFormatting sqref="B26:C27">
    <cfRule type="expression" dxfId="2" priority="3">
      <formula>$E$61=2</formula>
    </cfRule>
  </conditionalFormatting>
  <conditionalFormatting sqref="D7:E7">
    <cfRule type="expression" dxfId="1" priority="2">
      <formula>$E$61=2</formula>
    </cfRule>
  </conditionalFormatting>
  <conditionalFormatting sqref="B7:C7">
    <cfRule type="expression" dxfId="0" priority="1">
      <formula>$E$61=2</formula>
    </cfRule>
  </conditionalFormatting>
  <dataValidations count="3">
    <dataValidation allowBlank="1" showInputMessage="1" showErrorMessage="1" prompt="High speed horsepower of the smallest multi-speed pump meeting the estimated optimal flow rate." sqref="D7" xr:uid="{00000000-0002-0000-0400-000000000000}"/>
    <dataValidation type="decimal" allowBlank="1" showErrorMessage="1" error="Select a value between 6 and 24 hours." sqref="D13" xr:uid="{00000000-0002-0000-0400-000001000000}">
      <formula1>6</formula1>
      <formula2>24</formula2>
    </dataValidation>
    <dataValidation type="list" allowBlank="1" showErrorMessage="1" error="Select either 2 or 2.5 inch pipe." prompt="Select 2 or 2.5 inch pipe." sqref="D10" xr:uid="{00000000-0002-0000-0400-000002000000}">
      <formula1>"2, 2.5"</formula1>
    </dataValidation>
  </dataValidations>
  <hyperlinks>
    <hyperlink ref="D72:G72" r:id="rId1" display="- Consortium for Energy Efficiency, CEE(SM) High Efficiency Residential Swimming Pool Initiative, 2012" xr:uid="{00000000-0004-0000-0400-000000000000}"/>
  </hyperlinks>
  <pageMargins left="0.75" right="0.75" top="0.75" bottom="0.75" header="0.5" footer="0.25"/>
  <pageSetup scale="71" orientation="landscape" r:id="rId2"/>
  <headerFooter alignWithMargins="0"/>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D631E8B4AC18449234859AEA65D00F" ma:contentTypeVersion="12" ma:contentTypeDescription="Create a new document." ma:contentTypeScope="" ma:versionID="d7880ee8005577a6c2391021bd4b43f8">
  <xsd:schema xmlns:xsd="http://www.w3.org/2001/XMLSchema" xmlns:xs="http://www.w3.org/2001/XMLSchema" xmlns:p="http://schemas.microsoft.com/office/2006/metadata/properties" xmlns:ns3="c22a12d0-3dde-4058-bc6d-ea78323a47d4" xmlns:ns4="c7a2bafe-78aa-41c6-9776-e7e021a7e5f3" targetNamespace="http://schemas.microsoft.com/office/2006/metadata/properties" ma:root="true" ma:fieldsID="5b724c28e0234e3c12ad90b75271a301" ns3:_="" ns4:_="">
    <xsd:import namespace="c22a12d0-3dde-4058-bc6d-ea78323a47d4"/>
    <xsd:import namespace="c7a2bafe-78aa-41c6-9776-e7e021a7e5f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a12d0-3dde-4058-bc6d-ea78323a4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a2bafe-78aa-41c6-9776-e7e021a7e5f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9A38FD-4151-41C2-9295-A187F4B2BDD3}">
  <ds:schemaRefs>
    <ds:schemaRef ds:uri="http://schemas.microsoft.com/sharepoint/v3/contenttype/forms"/>
  </ds:schemaRefs>
</ds:datastoreItem>
</file>

<file path=customXml/itemProps2.xml><?xml version="1.0" encoding="utf-8"?>
<ds:datastoreItem xmlns:ds="http://schemas.openxmlformats.org/officeDocument/2006/customXml" ds:itemID="{2434FC70-7BF5-4D07-91C5-370B80C17D1A}">
  <ds:schemaRefs>
    <ds:schemaRef ds:uri="http://schemas.microsoft.com/office/2006/metadata/properties"/>
    <ds:schemaRef ds:uri="http://purl.org/dc/elements/1.1/"/>
    <ds:schemaRef ds:uri="http://schemas.openxmlformats.org/package/2006/metadata/core-properties"/>
    <ds:schemaRef ds:uri="http://purl.org/dc/terms/"/>
    <ds:schemaRef ds:uri="http://purl.org/dc/dcmitype/"/>
    <ds:schemaRef ds:uri="c7a2bafe-78aa-41c6-9776-e7e021a7e5f3"/>
    <ds:schemaRef ds:uri="http://schemas.microsoft.com/office/2006/documentManagement/types"/>
    <ds:schemaRef ds:uri="http://schemas.microsoft.com/office/infopath/2007/PartnerControls"/>
    <ds:schemaRef ds:uri="c22a12d0-3dde-4058-bc6d-ea78323a47d4"/>
    <ds:schemaRef ds:uri="http://www.w3.org/XML/1998/namespace"/>
  </ds:schemaRefs>
</ds:datastoreItem>
</file>

<file path=customXml/itemProps3.xml><?xml version="1.0" encoding="utf-8"?>
<ds:datastoreItem xmlns:ds="http://schemas.openxmlformats.org/officeDocument/2006/customXml" ds:itemID="{EE2DCEFA-03F9-4275-A530-8B9F23B35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a12d0-3dde-4058-bc6d-ea78323a47d4"/>
    <ds:schemaRef ds:uri="c7a2bafe-78aa-41c6-9776-e7e021a7e5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How to Use This Calculator</vt:lpstr>
      <vt:lpstr>INPUTS</vt:lpstr>
      <vt:lpstr>RESULTS</vt:lpstr>
      <vt:lpstr>Assumptions&amp;Calculations</vt:lpstr>
      <vt:lpstr>Pump Calcs (2)</vt:lpstr>
      <vt:lpstr>'Pump Calcs (2)'!Locator</vt:lpstr>
      <vt:lpstr>Locator</vt:lpstr>
      <vt:lpstr>INPUTS!Print_Area</vt:lpstr>
      <vt:lpstr>RESULTS!Print_Area</vt:lpstr>
    </vt:vector>
  </TitlesOfParts>
  <Company>CadmusGroup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Lyons</dc:creator>
  <cp:lastModifiedBy>Keeley-LeClaire, Theo</cp:lastModifiedBy>
  <cp:lastPrinted>2013-08-30T02:49:27Z</cp:lastPrinted>
  <dcterms:created xsi:type="dcterms:W3CDTF">2013-05-10T16:34:40Z</dcterms:created>
  <dcterms:modified xsi:type="dcterms:W3CDTF">2020-05-05T18:46:37Z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0x010100ABD631E8B4AC18449234859AEA65D00F</vt:lpwstr>
  </property>
</Properties>
</file>